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C:\Users\U102129\DANE\Mojedane\KEXEL\DYR\DYR23\PLN\2023\"/>
    </mc:Choice>
  </mc:AlternateContent>
  <xr:revisionPtr revIDLastSave="0" documentId="8_{5CC95752-978D-4956-A27C-A517F8F704AE}" xr6:coauthVersionLast="47" xr6:coauthVersionMax="47" xr10:uidLastSave="{00000000-0000-0000-0000-000000000000}"/>
  <bookViews>
    <workbookView xWindow="2280" yWindow="2280" windowWidth="28260" windowHeight="15950" xr2:uid="{00000000-000D-0000-FFFF-FFFF00000000}"/>
  </bookViews>
  <sheets>
    <sheet name="rok2023" sheetId="39" r:id="rId1"/>
    <sheet name="rok2022" sheetId="38" r:id="rId2"/>
    <sheet name="rok2021" sheetId="36" r:id="rId3"/>
    <sheet name="rok2020" sheetId="37" r:id="rId4"/>
    <sheet name="rok2019" sheetId="35" r:id="rId5"/>
    <sheet name="rok2018" sheetId="32" r:id="rId6"/>
    <sheet name="rok2017" sheetId="34" r:id="rId7"/>
    <sheet name="rok2016" sheetId="30" r:id="rId8"/>
    <sheet name="rok2015" sheetId="31" r:id="rId9"/>
    <sheet name="rok2014" sheetId="29" r:id="rId10"/>
    <sheet name="rok2013" sheetId="28" r:id="rId11"/>
    <sheet name="rok2012" sheetId="26" r:id="rId12"/>
    <sheet name="rok2011" sheetId="25" r:id="rId13"/>
    <sheet name="rok2010" sheetId="24" r:id="rId14"/>
    <sheet name="rok2009" sheetId="23" r:id="rId15"/>
    <sheet name="rok2008" sheetId="22" r:id="rId16"/>
    <sheet name="rok2007" sheetId="21" r:id="rId17"/>
    <sheet name="rok2006" sheetId="20" r:id="rId18"/>
    <sheet name="rok2005" sheetId="19" r:id="rId19"/>
    <sheet name="rok2004" sheetId="17" r:id="rId20"/>
    <sheet name="rok2003" sheetId="18" r:id="rId21"/>
    <sheet name="rok2002" sheetId="1" r:id="rId22"/>
    <sheet name="rok2001" sheetId="15" r:id="rId23"/>
    <sheet name="rok2000" sheetId="14" r:id="rId24"/>
    <sheet name="rok1999" sheetId="16" r:id="rId25"/>
    <sheet name="Arkusz1" sheetId="27" r:id="rId26"/>
  </sheets>
  <definedNames>
    <definedName name="_xlnm.Print_Area" localSheetId="24">'rok1999'!$A$1:$V$35</definedName>
    <definedName name="_xlnm.Print_Area" localSheetId="23">'rok2000'!$A$1:$V$35</definedName>
    <definedName name="_xlnm.Print_Area" localSheetId="22">'rok2001'!$A$1:$V$35</definedName>
    <definedName name="_xlnm.Print_Area" localSheetId="21">'rok2002'!$A$1:$V$35</definedName>
    <definedName name="_xlnm.Print_Area" localSheetId="19">'rok2004'!$B$6:$V$35</definedName>
    <definedName name="_xlnm.Print_Area" localSheetId="13">'rok2010'!$A$1:$P$32</definedName>
    <definedName name="_xlnm.Print_Area" localSheetId="10">'rok2013'!$A$1:$V$32</definedName>
    <definedName name="_xlnm.Print_Area" localSheetId="9">'rok2014'!$A$1:$V$32</definedName>
    <definedName name="_xlnm.Print_Area" localSheetId="7">'rok2016'!$A$1:$V$33</definedName>
    <definedName name="_xlnm.Print_Area" localSheetId="6">'rok2017'!$A$1:$V$33</definedName>
    <definedName name="_xlnm.Print_Area" localSheetId="5">'rok2018'!$A$1:$V$33</definedName>
    <definedName name="_xlnm.Print_Area" localSheetId="4">'rok2019'!$A$1:$V$33</definedName>
    <definedName name="_xlnm.Print_Area" localSheetId="2">'rok2021'!$A$1:$V$33</definedName>
    <definedName name="_xlnm.Print_Area" localSheetId="1">'rok2022'!$A$1:$V$33</definedName>
    <definedName name="_xlnm.Print_Area" localSheetId="0">'rok2023'!$A$1:$V$33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7" i="39" l="1"/>
  <c r="T27" i="39"/>
  <c r="P27" i="39"/>
  <c r="L27" i="39"/>
  <c r="H27" i="39"/>
  <c r="V25" i="39"/>
  <c r="U25" i="39"/>
  <c r="T25" i="39"/>
  <c r="P25" i="39"/>
  <c r="L25" i="39"/>
  <c r="H25" i="39"/>
  <c r="U23" i="39"/>
  <c r="T23" i="39"/>
  <c r="P23" i="39"/>
  <c r="L23" i="39"/>
  <c r="H23" i="39"/>
  <c r="S21" i="39"/>
  <c r="S28" i="39" s="1"/>
  <c r="S29" i="39" s="1"/>
  <c r="R21" i="39"/>
  <c r="R28" i="39" s="1"/>
  <c r="R29" i="39" s="1"/>
  <c r="Q21" i="39"/>
  <c r="Q26" i="39" s="1"/>
  <c r="O21" i="39"/>
  <c r="O26" i="39" s="1"/>
  <c r="N21" i="39"/>
  <c r="N24" i="39" s="1"/>
  <c r="M21" i="39"/>
  <c r="M24" i="39" s="1"/>
  <c r="K21" i="39"/>
  <c r="K28" i="39" s="1"/>
  <c r="K29" i="39" s="1"/>
  <c r="J21" i="39"/>
  <c r="I21" i="39"/>
  <c r="I26" i="39" s="1"/>
  <c r="G21" i="39"/>
  <c r="G26" i="39" s="1"/>
  <c r="F21" i="39"/>
  <c r="F24" i="39" s="1"/>
  <c r="E21" i="39"/>
  <c r="V19" i="39"/>
  <c r="U19" i="39"/>
  <c r="T19" i="39"/>
  <c r="P19" i="39"/>
  <c r="L19" i="39"/>
  <c r="H19" i="39"/>
  <c r="S17" i="39"/>
  <c r="R17" i="39"/>
  <c r="R15" i="39" s="1"/>
  <c r="Q17" i="39"/>
  <c r="Q15" i="39" s="1"/>
  <c r="O17" i="39"/>
  <c r="O15" i="39" s="1"/>
  <c r="N17" i="39"/>
  <c r="M17" i="39"/>
  <c r="M15" i="39" s="1"/>
  <c r="J15" i="39"/>
  <c r="G17" i="39"/>
  <c r="G15" i="39" s="1"/>
  <c r="F17" i="39"/>
  <c r="F15" i="39" s="1"/>
  <c r="E17" i="39"/>
  <c r="E15" i="39" s="1"/>
  <c r="E12" i="39" s="1"/>
  <c r="N15" i="39"/>
  <c r="N20" i="39" s="1"/>
  <c r="K15" i="39"/>
  <c r="K10" i="39" s="1"/>
  <c r="I15" i="39"/>
  <c r="I18" i="39" s="1"/>
  <c r="V13" i="39"/>
  <c r="U13" i="39"/>
  <c r="T13" i="39"/>
  <c r="P13" i="39"/>
  <c r="L13" i="39"/>
  <c r="H13" i="39"/>
  <c r="V11" i="39"/>
  <c r="U11" i="39"/>
  <c r="T11" i="39"/>
  <c r="P11" i="39"/>
  <c r="L11" i="39"/>
  <c r="H11" i="39"/>
  <c r="V9" i="39"/>
  <c r="U9" i="39"/>
  <c r="T9" i="39"/>
  <c r="P9" i="39"/>
  <c r="L9" i="39"/>
  <c r="H9" i="39"/>
  <c r="V8" i="39"/>
  <c r="T8" i="39"/>
  <c r="P8" i="39"/>
  <c r="L8" i="39"/>
  <c r="H8" i="39"/>
  <c r="V7" i="39"/>
  <c r="U7" i="39"/>
  <c r="T7" i="39"/>
  <c r="P7" i="39"/>
  <c r="L7" i="39"/>
  <c r="H7" i="39"/>
  <c r="S28" i="38"/>
  <c r="S29" i="38" s="1"/>
  <c r="K28" i="38"/>
  <c r="K29" i="38" s="1"/>
  <c r="J28" i="38"/>
  <c r="J29" i="38" s="1"/>
  <c r="I28" i="38"/>
  <c r="L29" i="38" s="1"/>
  <c r="V27" i="38"/>
  <c r="T27" i="38"/>
  <c r="P27" i="38"/>
  <c r="L27" i="38"/>
  <c r="H27" i="38"/>
  <c r="V25" i="38"/>
  <c r="U25" i="38"/>
  <c r="T25" i="38"/>
  <c r="P25" i="38"/>
  <c r="L25" i="38"/>
  <c r="H25" i="38"/>
  <c r="S24" i="38"/>
  <c r="K24" i="38"/>
  <c r="E24" i="38"/>
  <c r="U23" i="38"/>
  <c r="T23" i="38"/>
  <c r="P23" i="38"/>
  <c r="L23" i="38"/>
  <c r="H23" i="38"/>
  <c r="S22" i="38"/>
  <c r="L22" i="38"/>
  <c r="K22" i="38"/>
  <c r="E22" i="38"/>
  <c r="S21" i="38"/>
  <c r="S26" i="38" s="1"/>
  <c r="R21" i="38"/>
  <c r="R24" i="38" s="1"/>
  <c r="Q21" i="38"/>
  <c r="T24" i="38" s="1"/>
  <c r="O21" i="38"/>
  <c r="O24" i="38" s="1"/>
  <c r="N21" i="38"/>
  <c r="N22" i="38" s="1"/>
  <c r="M21" i="38"/>
  <c r="P26" i="38" s="1"/>
  <c r="K21" i="38"/>
  <c r="K26" i="38" s="1"/>
  <c r="J21" i="38"/>
  <c r="J24" i="38" s="1"/>
  <c r="I21" i="38"/>
  <c r="L24" i="38" s="1"/>
  <c r="G21" i="38"/>
  <c r="G24" i="38" s="1"/>
  <c r="F21" i="38"/>
  <c r="F22" i="38" s="1"/>
  <c r="E21" i="38"/>
  <c r="V19" i="38"/>
  <c r="U19" i="38"/>
  <c r="T19" i="38"/>
  <c r="P19" i="38"/>
  <c r="L19" i="38"/>
  <c r="H19" i="38"/>
  <c r="S17" i="38"/>
  <c r="S15" i="38" s="1"/>
  <c r="R17" i="38"/>
  <c r="R15" i="38" s="1"/>
  <c r="Q17" i="38"/>
  <c r="O17" i="38"/>
  <c r="O15" i="38" s="1"/>
  <c r="N17" i="38"/>
  <c r="N15" i="38" s="1"/>
  <c r="M17" i="38"/>
  <c r="M15" i="38" s="1"/>
  <c r="K17" i="38"/>
  <c r="K15" i="38" s="1"/>
  <c r="K16" i="38" s="1"/>
  <c r="J17" i="38"/>
  <c r="J15" i="38" s="1"/>
  <c r="I17" i="38"/>
  <c r="G17" i="38"/>
  <c r="G15" i="38" s="1"/>
  <c r="F17" i="38"/>
  <c r="E17" i="38"/>
  <c r="V13" i="38"/>
  <c r="U13" i="38"/>
  <c r="T13" i="38"/>
  <c r="P13" i="38"/>
  <c r="L13" i="38"/>
  <c r="H13" i="38"/>
  <c r="V11" i="38"/>
  <c r="U11" i="38"/>
  <c r="T11" i="38"/>
  <c r="P11" i="38"/>
  <c r="L11" i="38"/>
  <c r="H11" i="38"/>
  <c r="V9" i="38"/>
  <c r="U9" i="38"/>
  <c r="T9" i="38"/>
  <c r="P9" i="38"/>
  <c r="L9" i="38"/>
  <c r="H9" i="38"/>
  <c r="V8" i="38"/>
  <c r="T8" i="38"/>
  <c r="P8" i="38"/>
  <c r="L8" i="38"/>
  <c r="H8" i="38"/>
  <c r="V7" i="38"/>
  <c r="U7" i="38"/>
  <c r="T7" i="38"/>
  <c r="P7" i="38"/>
  <c r="L7" i="38"/>
  <c r="H7" i="38"/>
  <c r="R31" i="37"/>
  <c r="R32" i="37" s="1"/>
  <c r="Q31" i="37"/>
  <c r="L29" i="37"/>
  <c r="K29" i="37"/>
  <c r="T28" i="37"/>
  <c r="Q28" i="37"/>
  <c r="Q29" i="37" s="1"/>
  <c r="O28" i="37"/>
  <c r="O29" i="37" s="1"/>
  <c r="I28" i="37"/>
  <c r="I29" i="37" s="1"/>
  <c r="G28" i="37"/>
  <c r="G29" i="37" s="1"/>
  <c r="F28" i="37"/>
  <c r="F29" i="37" s="1"/>
  <c r="E28" i="37"/>
  <c r="V27" i="37"/>
  <c r="T27" i="37"/>
  <c r="P27" i="37"/>
  <c r="L27" i="37"/>
  <c r="H27" i="37"/>
  <c r="T26" i="37"/>
  <c r="K26" i="37"/>
  <c r="J26" i="37"/>
  <c r="F26" i="37"/>
  <c r="E26" i="37"/>
  <c r="V25" i="37"/>
  <c r="U25" i="37"/>
  <c r="T25" i="37"/>
  <c r="P25" i="37"/>
  <c r="L25" i="37"/>
  <c r="H25" i="37"/>
  <c r="Q24" i="37"/>
  <c r="K24" i="37"/>
  <c r="J24" i="37"/>
  <c r="I24" i="37"/>
  <c r="U23" i="37"/>
  <c r="T23" i="37"/>
  <c r="P23" i="37"/>
  <c r="L23" i="37"/>
  <c r="H23" i="37"/>
  <c r="Q22" i="37"/>
  <c r="K22" i="37"/>
  <c r="J22" i="37"/>
  <c r="I22" i="37"/>
  <c r="S21" i="37"/>
  <c r="S28" i="37" s="1"/>
  <c r="S29" i="37" s="1"/>
  <c r="R21" i="37"/>
  <c r="R28" i="37" s="1"/>
  <c r="T29" i="37" s="1"/>
  <c r="Q21" i="37"/>
  <c r="Q26" i="37" s="1"/>
  <c r="O21" i="37"/>
  <c r="O22" i="37" s="1"/>
  <c r="N21" i="37"/>
  <c r="N26" i="37" s="1"/>
  <c r="M21" i="37"/>
  <c r="M26" i="37" s="1"/>
  <c r="K21" i="37"/>
  <c r="K28" i="37" s="1"/>
  <c r="J21" i="37"/>
  <c r="J28" i="37" s="1"/>
  <c r="L28" i="37" s="1"/>
  <c r="I21" i="37"/>
  <c r="I26" i="37" s="1"/>
  <c r="G21" i="37"/>
  <c r="G22" i="37" s="1"/>
  <c r="F21" i="37"/>
  <c r="E21" i="37"/>
  <c r="V19" i="37"/>
  <c r="U19" i="37"/>
  <c r="T19" i="37"/>
  <c r="P19" i="37"/>
  <c r="L19" i="37"/>
  <c r="H19" i="37"/>
  <c r="S18" i="37"/>
  <c r="R18" i="37"/>
  <c r="N18" i="37"/>
  <c r="J18" i="37"/>
  <c r="T17" i="37"/>
  <c r="S17" i="37"/>
  <c r="R17" i="37"/>
  <c r="Q17" i="37"/>
  <c r="O17" i="37"/>
  <c r="N17" i="37"/>
  <c r="N15" i="37" s="1"/>
  <c r="N20" i="37" s="1"/>
  <c r="M17" i="37"/>
  <c r="P17" i="37" s="1"/>
  <c r="L17" i="37"/>
  <c r="K17" i="37"/>
  <c r="J17" i="37"/>
  <c r="I17" i="37"/>
  <c r="G17" i="37"/>
  <c r="G15" i="37" s="1"/>
  <c r="F17" i="37"/>
  <c r="F15" i="37" s="1"/>
  <c r="E17" i="37"/>
  <c r="E15" i="37" s="1"/>
  <c r="E16" i="37" s="1"/>
  <c r="I16" i="37"/>
  <c r="S15" i="37"/>
  <c r="S31" i="37" s="1"/>
  <c r="R15" i="37"/>
  <c r="Q15" i="37"/>
  <c r="T18" i="37" s="1"/>
  <c r="O15" i="37"/>
  <c r="O16" i="37" s="1"/>
  <c r="K15" i="37"/>
  <c r="K16" i="37" s="1"/>
  <c r="J15" i="37"/>
  <c r="J31" i="37" s="1"/>
  <c r="I15" i="37"/>
  <c r="I31" i="37" s="1"/>
  <c r="T14" i="37"/>
  <c r="S14" i="37"/>
  <c r="R14" i="37"/>
  <c r="J14" i="37"/>
  <c r="I14" i="37"/>
  <c r="V13" i="37"/>
  <c r="U13" i="37"/>
  <c r="T13" i="37"/>
  <c r="P13" i="37"/>
  <c r="L13" i="37"/>
  <c r="H13" i="37"/>
  <c r="S12" i="37"/>
  <c r="R12" i="37"/>
  <c r="Q12" i="37"/>
  <c r="J12" i="37"/>
  <c r="V11" i="37"/>
  <c r="U11" i="37"/>
  <c r="T11" i="37"/>
  <c r="P11" i="37"/>
  <c r="L11" i="37"/>
  <c r="H11" i="37"/>
  <c r="R10" i="37"/>
  <c r="Q10" i="37"/>
  <c r="J10" i="37"/>
  <c r="F10" i="37"/>
  <c r="V9" i="37"/>
  <c r="U9" i="37"/>
  <c r="T9" i="37"/>
  <c r="P9" i="37"/>
  <c r="L9" i="37"/>
  <c r="H9" i="37"/>
  <c r="V8" i="37"/>
  <c r="T8" i="37"/>
  <c r="P8" i="37"/>
  <c r="L8" i="37"/>
  <c r="H8" i="37"/>
  <c r="V7" i="37"/>
  <c r="U7" i="37"/>
  <c r="T7" i="37"/>
  <c r="P7" i="37"/>
  <c r="L7" i="37"/>
  <c r="H7" i="37"/>
  <c r="S22" i="39" l="1"/>
  <c r="S24" i="39"/>
  <c r="T22" i="39"/>
  <c r="Q24" i="39"/>
  <c r="S15" i="39"/>
  <c r="T14" i="39" s="1"/>
  <c r="Q18" i="39"/>
  <c r="Q12" i="39"/>
  <c r="Q20" i="39"/>
  <c r="Q16" i="39"/>
  <c r="Q10" i="39"/>
  <c r="P26" i="39"/>
  <c r="P21" i="39"/>
  <c r="N22" i="39"/>
  <c r="O28" i="39"/>
  <c r="O29" i="39" s="1"/>
  <c r="P24" i="39"/>
  <c r="O22" i="39"/>
  <c r="O24" i="39"/>
  <c r="N31" i="39"/>
  <c r="O31" i="39"/>
  <c r="O32" i="39" s="1"/>
  <c r="O12" i="39"/>
  <c r="O18" i="39"/>
  <c r="N18" i="39"/>
  <c r="N10" i="39"/>
  <c r="N12" i="39"/>
  <c r="N14" i="39"/>
  <c r="M10" i="39"/>
  <c r="M12" i="39"/>
  <c r="P17" i="39"/>
  <c r="I12" i="39"/>
  <c r="G22" i="39"/>
  <c r="H24" i="39"/>
  <c r="K16" i="39"/>
  <c r="K12" i="39"/>
  <c r="I16" i="39"/>
  <c r="I20" i="39"/>
  <c r="K18" i="39"/>
  <c r="I10" i="39"/>
  <c r="K22" i="39"/>
  <c r="K24" i="39"/>
  <c r="L22" i="39"/>
  <c r="I24" i="39"/>
  <c r="J28" i="39"/>
  <c r="J29" i="39" s="1"/>
  <c r="H21" i="39"/>
  <c r="F22" i="39"/>
  <c r="G28" i="39"/>
  <c r="G29" i="39" s="1"/>
  <c r="H26" i="39"/>
  <c r="E24" i="39"/>
  <c r="G24" i="39"/>
  <c r="F20" i="39"/>
  <c r="F14" i="39"/>
  <c r="F10" i="39"/>
  <c r="F12" i="39"/>
  <c r="F31" i="39"/>
  <c r="F32" i="39" s="1"/>
  <c r="G31" i="39"/>
  <c r="G32" i="39" s="1"/>
  <c r="G12" i="39"/>
  <c r="G18" i="39"/>
  <c r="H17" i="39"/>
  <c r="F18" i="39"/>
  <c r="U17" i="39"/>
  <c r="R20" i="39"/>
  <c r="R16" i="39"/>
  <c r="R10" i="39"/>
  <c r="R12" i="39"/>
  <c r="R31" i="39"/>
  <c r="R14" i="39"/>
  <c r="J20" i="39"/>
  <c r="J16" i="39"/>
  <c r="J10" i="39"/>
  <c r="L14" i="39"/>
  <c r="J12" i="39"/>
  <c r="J31" i="39"/>
  <c r="J14" i="39"/>
  <c r="L10" i="39"/>
  <c r="V17" i="39"/>
  <c r="P18" i="39"/>
  <c r="E16" i="39"/>
  <c r="T17" i="39"/>
  <c r="J18" i="39"/>
  <c r="R18" i="39"/>
  <c r="K20" i="39"/>
  <c r="H22" i="39"/>
  <c r="J26" i="39"/>
  <c r="R26" i="39"/>
  <c r="N32" i="39"/>
  <c r="P14" i="39"/>
  <c r="M16" i="39"/>
  <c r="L17" i="39"/>
  <c r="P22" i="39"/>
  <c r="G10" i="39"/>
  <c r="O10" i="39"/>
  <c r="P12" i="39"/>
  <c r="I14" i="39"/>
  <c r="Q14" i="39"/>
  <c r="H15" i="39"/>
  <c r="P15" i="39"/>
  <c r="F16" i="39"/>
  <c r="N16" i="39"/>
  <c r="L20" i="39"/>
  <c r="I22" i="39"/>
  <c r="Q22" i="39"/>
  <c r="J24" i="39"/>
  <c r="R24" i="39"/>
  <c r="K26" i="39"/>
  <c r="S26" i="39"/>
  <c r="E28" i="39"/>
  <c r="M28" i="39"/>
  <c r="I31" i="39"/>
  <c r="Q31" i="39"/>
  <c r="P10" i="39"/>
  <c r="G16" i="39"/>
  <c r="O16" i="39"/>
  <c r="L18" i="39"/>
  <c r="T18" i="39"/>
  <c r="E20" i="39"/>
  <c r="M20" i="39"/>
  <c r="L21" i="39"/>
  <c r="T21" i="39"/>
  <c r="J22" i="39"/>
  <c r="R22" i="39"/>
  <c r="L26" i="39"/>
  <c r="T26" i="39"/>
  <c r="F28" i="39"/>
  <c r="F29" i="39" s="1"/>
  <c r="N28" i="39"/>
  <c r="N29" i="39" s="1"/>
  <c r="K14" i="39"/>
  <c r="S14" i="39"/>
  <c r="H16" i="39"/>
  <c r="P16" i="39"/>
  <c r="E18" i="39"/>
  <c r="M18" i="39"/>
  <c r="U21" i="39"/>
  <c r="L24" i="39"/>
  <c r="V23" i="39" s="1"/>
  <c r="T24" i="39"/>
  <c r="E26" i="39"/>
  <c r="M26" i="39"/>
  <c r="K31" i="39"/>
  <c r="S31" i="39"/>
  <c r="O20" i="39"/>
  <c r="N26" i="39"/>
  <c r="G20" i="39"/>
  <c r="V21" i="39"/>
  <c r="F26" i="39"/>
  <c r="L12" i="39"/>
  <c r="T12" i="39"/>
  <c r="E14" i="39"/>
  <c r="M14" i="39"/>
  <c r="L15" i="39"/>
  <c r="T15" i="39"/>
  <c r="P20" i="39"/>
  <c r="E22" i="39"/>
  <c r="M22" i="39"/>
  <c r="I28" i="39"/>
  <c r="Q28" i="39"/>
  <c r="E31" i="39"/>
  <c r="M31" i="39"/>
  <c r="E10" i="39"/>
  <c r="G14" i="39"/>
  <c r="O14" i="39"/>
  <c r="L16" i="39"/>
  <c r="T16" i="39"/>
  <c r="R22" i="38"/>
  <c r="R28" i="38"/>
  <c r="R29" i="38" s="1"/>
  <c r="Q28" i="38"/>
  <c r="T29" i="38" s="1"/>
  <c r="T22" i="38"/>
  <c r="S16" i="38"/>
  <c r="S12" i="38"/>
  <c r="S18" i="38"/>
  <c r="M22" i="38"/>
  <c r="M24" i="38"/>
  <c r="N31" i="38"/>
  <c r="N32" i="38" s="1"/>
  <c r="N12" i="38"/>
  <c r="P18" i="38"/>
  <c r="M10" i="38"/>
  <c r="M12" i="38"/>
  <c r="P17" i="38"/>
  <c r="M14" i="38"/>
  <c r="N18" i="38"/>
  <c r="M31" i="38"/>
  <c r="M32" i="38" s="1"/>
  <c r="J22" i="38"/>
  <c r="K18" i="38"/>
  <c r="K12" i="38"/>
  <c r="H26" i="38"/>
  <c r="U17" i="38"/>
  <c r="H17" i="38"/>
  <c r="F15" i="38"/>
  <c r="E15" i="38"/>
  <c r="E20" i="38" s="1"/>
  <c r="R10" i="38"/>
  <c r="R12" i="38"/>
  <c r="R31" i="38"/>
  <c r="R14" i="38"/>
  <c r="R16" i="38"/>
  <c r="R20" i="38"/>
  <c r="J10" i="38"/>
  <c r="J12" i="38"/>
  <c r="J31" i="38"/>
  <c r="J14" i="38"/>
  <c r="J16" i="38"/>
  <c r="J20" i="38"/>
  <c r="O20" i="38"/>
  <c r="O14" i="38"/>
  <c r="O16" i="38"/>
  <c r="P20" i="38"/>
  <c r="O10" i="38"/>
  <c r="O31" i="38"/>
  <c r="O18" i="38"/>
  <c r="O12" i="38"/>
  <c r="G18" i="38"/>
  <c r="G20" i="38"/>
  <c r="G16" i="38"/>
  <c r="G10" i="38"/>
  <c r="G12" i="38"/>
  <c r="G31" i="38"/>
  <c r="G14" i="38"/>
  <c r="S10" i="38"/>
  <c r="I29" i="38"/>
  <c r="N10" i="38"/>
  <c r="P14" i="38"/>
  <c r="M16" i="38"/>
  <c r="L17" i="38"/>
  <c r="T17" i="38"/>
  <c r="J18" i="38"/>
  <c r="R18" i="38"/>
  <c r="K20" i="38"/>
  <c r="S20" i="38"/>
  <c r="H22" i="38"/>
  <c r="P22" i="38"/>
  <c r="I24" i="38"/>
  <c r="Q24" i="38"/>
  <c r="J26" i="38"/>
  <c r="R26" i="38"/>
  <c r="L28" i="38"/>
  <c r="V21" i="38"/>
  <c r="F26" i="38"/>
  <c r="K10" i="38"/>
  <c r="O26" i="38"/>
  <c r="H24" i="38"/>
  <c r="P12" i="38"/>
  <c r="P15" i="38"/>
  <c r="N16" i="38"/>
  <c r="I22" i="38"/>
  <c r="Q22" i="38"/>
  <c r="E28" i="38"/>
  <c r="M28" i="38"/>
  <c r="F24" i="38"/>
  <c r="G26" i="38"/>
  <c r="G22" i="38"/>
  <c r="O22" i="38"/>
  <c r="P24" i="38"/>
  <c r="I26" i="38"/>
  <c r="Q26" i="38"/>
  <c r="P10" i="38"/>
  <c r="I15" i="38"/>
  <c r="I18" i="38" s="1"/>
  <c r="Q15" i="38"/>
  <c r="Q18" i="38" s="1"/>
  <c r="V17" i="38" s="1"/>
  <c r="M20" i="38"/>
  <c r="L21" i="38"/>
  <c r="T21" i="38"/>
  <c r="L26" i="38"/>
  <c r="T26" i="38"/>
  <c r="F28" i="38"/>
  <c r="F29" i="38" s="1"/>
  <c r="N28" i="38"/>
  <c r="N29" i="38" s="1"/>
  <c r="K14" i="38"/>
  <c r="S14" i="38"/>
  <c r="P16" i="38"/>
  <c r="M18" i="38"/>
  <c r="F20" i="38"/>
  <c r="N20" i="38"/>
  <c r="U21" i="38"/>
  <c r="E26" i="38"/>
  <c r="M26" i="38"/>
  <c r="G28" i="38"/>
  <c r="G29" i="38" s="1"/>
  <c r="O28" i="38"/>
  <c r="O29" i="38" s="1"/>
  <c r="K31" i="38"/>
  <c r="S31" i="38"/>
  <c r="N26" i="38"/>
  <c r="N24" i="38"/>
  <c r="N14" i="38"/>
  <c r="H21" i="38"/>
  <c r="P21" i="38"/>
  <c r="I30" i="37"/>
  <c r="I32" i="37"/>
  <c r="J30" i="37"/>
  <c r="J32" i="37"/>
  <c r="S32" i="37"/>
  <c r="S30" i="37"/>
  <c r="G31" i="37"/>
  <c r="G14" i="37"/>
  <c r="G12" i="37"/>
  <c r="G20" i="37"/>
  <c r="G10" i="37"/>
  <c r="G16" i="37"/>
  <c r="T30" i="37"/>
  <c r="F12" i="37"/>
  <c r="F31" i="37"/>
  <c r="F14" i="37"/>
  <c r="O10" i="37"/>
  <c r="Q14" i="37"/>
  <c r="L20" i="37"/>
  <c r="F22" i="37"/>
  <c r="F24" i="37"/>
  <c r="T22" i="37"/>
  <c r="T24" i="37"/>
  <c r="S26" i="37"/>
  <c r="H29" i="37"/>
  <c r="J29" i="37"/>
  <c r="R30" i="37"/>
  <c r="H16" i="37"/>
  <c r="U17" i="37"/>
  <c r="I10" i="37"/>
  <c r="I12" i="37"/>
  <c r="R20" i="37"/>
  <c r="R16" i="37"/>
  <c r="N16" i="37"/>
  <c r="H17" i="37"/>
  <c r="F18" i="37"/>
  <c r="E20" i="37"/>
  <c r="H20" i="37" s="1"/>
  <c r="S20" i="37"/>
  <c r="T21" i="37"/>
  <c r="P22" i="37"/>
  <c r="M24" i="37"/>
  <c r="L26" i="37"/>
  <c r="P18" i="37"/>
  <c r="M15" i="37"/>
  <c r="V17" i="37"/>
  <c r="T32" i="37"/>
  <c r="T16" i="37"/>
  <c r="Q20" i="37"/>
  <c r="T15" i="37"/>
  <c r="T10" i="37"/>
  <c r="T12" i="37"/>
  <c r="K14" i="37"/>
  <c r="H15" i="37"/>
  <c r="S16" i="37"/>
  <c r="S10" i="37"/>
  <c r="I18" i="37"/>
  <c r="Q18" i="37"/>
  <c r="F20" i="37"/>
  <c r="T20" i="37"/>
  <c r="L21" i="37"/>
  <c r="U21" i="37"/>
  <c r="R29" i="37"/>
  <c r="T31" i="37"/>
  <c r="O31" i="37"/>
  <c r="O14" i="37"/>
  <c r="O18" i="37"/>
  <c r="K10" i="37"/>
  <c r="K12" i="37"/>
  <c r="L14" i="37"/>
  <c r="L16" i="37"/>
  <c r="I20" i="37"/>
  <c r="L10" i="37"/>
  <c r="L12" i="37"/>
  <c r="L15" i="37"/>
  <c r="K18" i="37"/>
  <c r="P24" i="37"/>
  <c r="P26" i="37"/>
  <c r="P21" i="37"/>
  <c r="M22" i="37"/>
  <c r="V21" i="37"/>
  <c r="R22" i="37"/>
  <c r="R24" i="37"/>
  <c r="M28" i="37"/>
  <c r="V28" i="37" s="1"/>
  <c r="E29" i="37"/>
  <c r="Q32" i="37"/>
  <c r="V15" i="37"/>
  <c r="E10" i="37"/>
  <c r="H10" i="37" s="1"/>
  <c r="E12" i="37"/>
  <c r="H12" i="37" s="1"/>
  <c r="E31" i="37"/>
  <c r="E14" i="37"/>
  <c r="H14" i="37" s="1"/>
  <c r="N12" i="37"/>
  <c r="N31" i="37"/>
  <c r="N14" i="37"/>
  <c r="G18" i="37"/>
  <c r="E18" i="37"/>
  <c r="O20" i="37"/>
  <c r="L22" i="37"/>
  <c r="L24" i="37"/>
  <c r="H28" i="37"/>
  <c r="N10" i="37"/>
  <c r="O12" i="37"/>
  <c r="J20" i="37"/>
  <c r="J16" i="37"/>
  <c r="F16" i="37"/>
  <c r="Q16" i="37"/>
  <c r="L18" i="37"/>
  <c r="K20" i="37"/>
  <c r="H24" i="37"/>
  <c r="H26" i="37"/>
  <c r="H21" i="37"/>
  <c r="E22" i="37"/>
  <c r="N22" i="37"/>
  <c r="N24" i="37"/>
  <c r="H22" i="37"/>
  <c r="S22" i="37"/>
  <c r="E24" i="37"/>
  <c r="S24" i="37"/>
  <c r="R26" i="37"/>
  <c r="N28" i="37"/>
  <c r="N29" i="37" s="1"/>
  <c r="Q30" i="37"/>
  <c r="K31" i="37"/>
  <c r="L31" i="37" s="1"/>
  <c r="G26" i="37"/>
  <c r="O26" i="37"/>
  <c r="G24" i="37"/>
  <c r="O24" i="37"/>
  <c r="T20" i="39" l="1"/>
  <c r="V15" i="39"/>
  <c r="U15" i="39"/>
  <c r="V12" i="39" s="1"/>
  <c r="T10" i="39"/>
  <c r="S10" i="39"/>
  <c r="S16" i="39"/>
  <c r="S12" i="39"/>
  <c r="S20" i="39"/>
  <c r="S18" i="39"/>
  <c r="N30" i="39"/>
  <c r="O30" i="39"/>
  <c r="H12" i="39"/>
  <c r="H20" i="39"/>
  <c r="G30" i="39"/>
  <c r="H18" i="39"/>
  <c r="H14" i="39"/>
  <c r="M32" i="39"/>
  <c r="P30" i="39"/>
  <c r="M30" i="39"/>
  <c r="P32" i="39"/>
  <c r="P31" i="39"/>
  <c r="V22" i="39"/>
  <c r="V24" i="39"/>
  <c r="P29" i="39"/>
  <c r="P28" i="39"/>
  <c r="M29" i="39"/>
  <c r="V10" i="39"/>
  <c r="V16" i="39"/>
  <c r="R32" i="39"/>
  <c r="R30" i="39"/>
  <c r="E32" i="39"/>
  <c r="H30" i="39"/>
  <c r="V31" i="39"/>
  <c r="U31" i="39"/>
  <c r="E30" i="39"/>
  <c r="H32" i="39"/>
  <c r="H31" i="39"/>
  <c r="H28" i="39"/>
  <c r="E29" i="39"/>
  <c r="V28" i="39"/>
  <c r="U28" i="39"/>
  <c r="V29" i="39" s="1"/>
  <c r="H29" i="39"/>
  <c r="Q29" i="39"/>
  <c r="T29" i="39"/>
  <c r="T28" i="39"/>
  <c r="S32" i="39"/>
  <c r="S30" i="39"/>
  <c r="V18" i="39"/>
  <c r="V26" i="39"/>
  <c r="F30" i="39"/>
  <c r="T32" i="39"/>
  <c r="T31" i="39"/>
  <c r="Q32" i="39"/>
  <c r="T30" i="39"/>
  <c r="Q30" i="39"/>
  <c r="V14" i="39"/>
  <c r="V20" i="39"/>
  <c r="I29" i="39"/>
  <c r="L29" i="39"/>
  <c r="L28" i="39"/>
  <c r="K32" i="39"/>
  <c r="K30" i="39"/>
  <c r="H10" i="39"/>
  <c r="L32" i="39"/>
  <c r="L31" i="39"/>
  <c r="I32" i="39"/>
  <c r="L30" i="39"/>
  <c r="I30" i="39"/>
  <c r="J32" i="39"/>
  <c r="J30" i="39"/>
  <c r="T28" i="38"/>
  <c r="Q29" i="38"/>
  <c r="T18" i="38"/>
  <c r="V23" i="38"/>
  <c r="P31" i="38"/>
  <c r="P32" i="38"/>
  <c r="P30" i="38"/>
  <c r="E18" i="38"/>
  <c r="H18" i="38" s="1"/>
  <c r="E16" i="38"/>
  <c r="F31" i="38"/>
  <c r="F32" i="38" s="1"/>
  <c r="F18" i="38"/>
  <c r="F12" i="38"/>
  <c r="F10" i="38"/>
  <c r="F14" i="38"/>
  <c r="F16" i="38"/>
  <c r="H15" i="38"/>
  <c r="H16" i="38"/>
  <c r="E31" i="38"/>
  <c r="E32" i="38" s="1"/>
  <c r="E12" i="38"/>
  <c r="E10" i="38"/>
  <c r="E14" i="38"/>
  <c r="H14" i="38"/>
  <c r="K30" i="38"/>
  <c r="K32" i="38"/>
  <c r="G30" i="38"/>
  <c r="G32" i="38"/>
  <c r="O30" i="38"/>
  <c r="O32" i="38"/>
  <c r="R32" i="38"/>
  <c r="R30" i="38"/>
  <c r="I20" i="38"/>
  <c r="L10" i="38"/>
  <c r="I16" i="38"/>
  <c r="I10" i="38"/>
  <c r="L15" i="38"/>
  <c r="I12" i="38"/>
  <c r="L16" i="38"/>
  <c r="L12" i="38"/>
  <c r="L14" i="38"/>
  <c r="I31" i="38"/>
  <c r="L20" i="38"/>
  <c r="I14" i="38"/>
  <c r="P29" i="38"/>
  <c r="M30" i="38"/>
  <c r="M29" i="38"/>
  <c r="P28" i="38"/>
  <c r="V15" i="38"/>
  <c r="J30" i="38"/>
  <c r="J32" i="38"/>
  <c r="V26" i="38"/>
  <c r="V24" i="38"/>
  <c r="V22" i="38"/>
  <c r="H29" i="38"/>
  <c r="E29" i="38"/>
  <c r="V28" i="38"/>
  <c r="H28" i="38"/>
  <c r="U28" i="38"/>
  <c r="V29" i="38" s="1"/>
  <c r="H20" i="38"/>
  <c r="U15" i="38"/>
  <c r="L18" i="38"/>
  <c r="S32" i="38"/>
  <c r="S30" i="38"/>
  <c r="Q20" i="38"/>
  <c r="T10" i="38"/>
  <c r="T15" i="38"/>
  <c r="Q10" i="38"/>
  <c r="Q16" i="38"/>
  <c r="Q12" i="38"/>
  <c r="Q31" i="38"/>
  <c r="T20" i="38"/>
  <c r="Q14" i="38"/>
  <c r="T12" i="38"/>
  <c r="T16" i="38"/>
  <c r="T14" i="38"/>
  <c r="N30" i="38"/>
  <c r="N30" i="37"/>
  <c r="N32" i="37"/>
  <c r="V22" i="37"/>
  <c r="V24" i="37"/>
  <c r="V26" i="37"/>
  <c r="K32" i="37"/>
  <c r="K30" i="37"/>
  <c r="V23" i="37"/>
  <c r="P29" i="37"/>
  <c r="M29" i="37"/>
  <c r="P28" i="37"/>
  <c r="M10" i="37"/>
  <c r="M12" i="37"/>
  <c r="P20" i="37"/>
  <c r="M31" i="37"/>
  <c r="M14" i="37"/>
  <c r="P14" i="37"/>
  <c r="P16" i="37"/>
  <c r="P15" i="37"/>
  <c r="M20" i="37"/>
  <c r="P10" i="37"/>
  <c r="P12" i="37"/>
  <c r="M16" i="37"/>
  <c r="L30" i="37"/>
  <c r="F30" i="37"/>
  <c r="F32" i="37"/>
  <c r="G30" i="37"/>
  <c r="G32" i="37"/>
  <c r="U28" i="37"/>
  <c r="V29" i="37" s="1"/>
  <c r="L32" i="37"/>
  <c r="E32" i="37"/>
  <c r="H30" i="37"/>
  <c r="U31" i="37"/>
  <c r="H31" i="37"/>
  <c r="E30" i="37"/>
  <c r="H32" i="37"/>
  <c r="H18" i="37"/>
  <c r="U15" i="37"/>
  <c r="O30" i="37"/>
  <c r="O32" i="37"/>
  <c r="M18" i="37"/>
  <c r="V32" i="39" l="1"/>
  <c r="V30" i="39"/>
  <c r="H10" i="38"/>
  <c r="H12" i="38"/>
  <c r="F30" i="38"/>
  <c r="U31" i="38"/>
  <c r="V30" i="38" s="1"/>
  <c r="H32" i="38"/>
  <c r="H30" i="38"/>
  <c r="H31" i="38"/>
  <c r="E30" i="38"/>
  <c r="V20" i="38"/>
  <c r="V14" i="38"/>
  <c r="V16" i="38"/>
  <c r="V12" i="38"/>
  <c r="V18" i="38"/>
  <c r="V10" i="38"/>
  <c r="T32" i="38"/>
  <c r="Q32" i="38"/>
  <c r="T30" i="38"/>
  <c r="T31" i="38"/>
  <c r="Q30" i="38"/>
  <c r="V31" i="38"/>
  <c r="L32" i="38"/>
  <c r="I32" i="38"/>
  <c r="L30" i="38"/>
  <c r="L31" i="38"/>
  <c r="I30" i="38"/>
  <c r="M32" i="37"/>
  <c r="P30" i="37"/>
  <c r="M30" i="37"/>
  <c r="P32" i="37"/>
  <c r="P31" i="37"/>
  <c r="V16" i="37"/>
  <c r="V20" i="37"/>
  <c r="V10" i="37"/>
  <c r="V12" i="37"/>
  <c r="V14" i="37"/>
  <c r="V18" i="37"/>
  <c r="V31" i="37"/>
  <c r="V32" i="37"/>
  <c r="V30" i="37"/>
  <c r="V32" i="38" l="1"/>
  <c r="G21" i="36"/>
  <c r="G28" i="36" s="1"/>
  <c r="G29" i="36" s="1"/>
  <c r="F21" i="36"/>
  <c r="F26" i="36" s="1"/>
  <c r="E21" i="36"/>
  <c r="E26" i="36" s="1"/>
  <c r="G17" i="36"/>
  <c r="G15" i="36" s="1"/>
  <c r="G10" i="36" s="1"/>
  <c r="F17" i="36"/>
  <c r="F15" i="36" s="1"/>
  <c r="E17" i="36"/>
  <c r="G22" i="36" l="1"/>
  <c r="G24" i="36"/>
  <c r="G26" i="36"/>
  <c r="F24" i="36"/>
  <c r="E28" i="36"/>
  <c r="E29" i="36" s="1"/>
  <c r="E22" i="36"/>
  <c r="F22" i="36"/>
  <c r="F10" i="36"/>
  <c r="F14" i="36"/>
  <c r="F31" i="36"/>
  <c r="F20" i="36"/>
  <c r="F16" i="36"/>
  <c r="F12" i="36"/>
  <c r="F18" i="36"/>
  <c r="G18" i="36"/>
  <c r="G12" i="36"/>
  <c r="F28" i="36"/>
  <c r="F29" i="36" s="1"/>
  <c r="G16" i="36"/>
  <c r="E24" i="36"/>
  <c r="G31" i="36"/>
  <c r="G14" i="36"/>
  <c r="G20" i="36"/>
  <c r="E15" i="36"/>
  <c r="E10" i="36" l="1"/>
  <c r="E14" i="36"/>
  <c r="E31" i="36"/>
  <c r="E20" i="36"/>
  <c r="E16" i="36"/>
  <c r="E12" i="36"/>
  <c r="E18" i="36"/>
  <c r="G32" i="36"/>
  <c r="G30" i="36"/>
  <c r="F32" i="36"/>
  <c r="F30" i="36"/>
  <c r="E30" i="36" l="1"/>
  <c r="E32" i="36"/>
  <c r="V27" i="36" l="1"/>
  <c r="T27" i="36"/>
  <c r="P27" i="36"/>
  <c r="L27" i="36"/>
  <c r="H27" i="36"/>
  <c r="V25" i="36"/>
  <c r="U25" i="36"/>
  <c r="T25" i="36"/>
  <c r="P25" i="36"/>
  <c r="L25" i="36"/>
  <c r="H25" i="36"/>
  <c r="U23" i="36"/>
  <c r="T23" i="36"/>
  <c r="P23" i="36"/>
  <c r="L23" i="36"/>
  <c r="H23" i="36"/>
  <c r="S21" i="36"/>
  <c r="S26" i="36" s="1"/>
  <c r="R21" i="36"/>
  <c r="R24" i="36" s="1"/>
  <c r="Q21" i="36"/>
  <c r="O21" i="36"/>
  <c r="O22" i="36" s="1"/>
  <c r="N21" i="36"/>
  <c r="N28" i="36" s="1"/>
  <c r="M21" i="36"/>
  <c r="M22" i="36" s="1"/>
  <c r="K21" i="36"/>
  <c r="K26" i="36" s="1"/>
  <c r="J21" i="36"/>
  <c r="J24" i="36" s="1"/>
  <c r="I21" i="36"/>
  <c r="V19" i="36"/>
  <c r="U19" i="36"/>
  <c r="T19" i="36"/>
  <c r="P19" i="36"/>
  <c r="L19" i="36"/>
  <c r="H19" i="36"/>
  <c r="S17" i="36"/>
  <c r="S15" i="36" s="1"/>
  <c r="S10" i="36" s="1"/>
  <c r="R17" i="36"/>
  <c r="Q17" i="36"/>
  <c r="O17" i="36"/>
  <c r="N17" i="36"/>
  <c r="M17" i="36"/>
  <c r="M15" i="36" s="1"/>
  <c r="M10" i="36" s="1"/>
  <c r="K17" i="36"/>
  <c r="J17" i="36"/>
  <c r="I17" i="36"/>
  <c r="V13" i="36"/>
  <c r="U13" i="36"/>
  <c r="T13" i="36"/>
  <c r="P13" i="36"/>
  <c r="L13" i="36"/>
  <c r="H13" i="36"/>
  <c r="V11" i="36"/>
  <c r="U11" i="36"/>
  <c r="T11" i="36"/>
  <c r="P11" i="36"/>
  <c r="L11" i="36"/>
  <c r="H11" i="36"/>
  <c r="V9" i="36"/>
  <c r="U9" i="36"/>
  <c r="T9" i="36"/>
  <c r="P9" i="36"/>
  <c r="L9" i="36"/>
  <c r="H9" i="36"/>
  <c r="V8" i="36"/>
  <c r="T8" i="36"/>
  <c r="P8" i="36"/>
  <c r="L8" i="36"/>
  <c r="H8" i="36"/>
  <c r="V7" i="36"/>
  <c r="U7" i="36"/>
  <c r="T7" i="36"/>
  <c r="P7" i="36"/>
  <c r="L7" i="36"/>
  <c r="H7" i="36"/>
  <c r="L26" i="36" l="1"/>
  <c r="M20" i="36"/>
  <c r="M12" i="36"/>
  <c r="M14" i="36"/>
  <c r="M18" i="36"/>
  <c r="S18" i="36"/>
  <c r="T26" i="36"/>
  <c r="O28" i="36"/>
  <c r="O29" i="36" s="1"/>
  <c r="Q28" i="36"/>
  <c r="R28" i="36"/>
  <c r="R29" i="36" s="1"/>
  <c r="S14" i="36"/>
  <c r="R22" i="36"/>
  <c r="S24" i="36"/>
  <c r="S28" i="36"/>
  <c r="S29" i="36" s="1"/>
  <c r="S22" i="36"/>
  <c r="T24" i="36"/>
  <c r="M31" i="36"/>
  <c r="M32" i="36" s="1"/>
  <c r="S12" i="36"/>
  <c r="N15" i="36"/>
  <c r="T22" i="36"/>
  <c r="R15" i="36"/>
  <c r="R16" i="36" s="1"/>
  <c r="S31" i="36"/>
  <c r="K22" i="36"/>
  <c r="L22" i="36"/>
  <c r="L24" i="36"/>
  <c r="K28" i="36"/>
  <c r="K29" i="36" s="1"/>
  <c r="K24" i="36"/>
  <c r="J22" i="36"/>
  <c r="J28" i="36"/>
  <c r="J29" i="36" s="1"/>
  <c r="I28" i="36"/>
  <c r="K15" i="36"/>
  <c r="K20" i="36" s="1"/>
  <c r="J15" i="36"/>
  <c r="J14" i="36" s="1"/>
  <c r="U17" i="36"/>
  <c r="N29" i="36"/>
  <c r="H18" i="36"/>
  <c r="H28" i="36"/>
  <c r="H29" i="36"/>
  <c r="M26" i="36"/>
  <c r="P17" i="36"/>
  <c r="S16" i="36"/>
  <c r="P21" i="36"/>
  <c r="N22" i="36"/>
  <c r="O24" i="36"/>
  <c r="H26" i="36"/>
  <c r="H24" i="36"/>
  <c r="Q26" i="36"/>
  <c r="O15" i="36"/>
  <c r="O18" i="36" s="1"/>
  <c r="M16" i="36"/>
  <c r="L17" i="36"/>
  <c r="T17" i="36"/>
  <c r="S20" i="36"/>
  <c r="H22" i="36"/>
  <c r="P22" i="36"/>
  <c r="I24" i="36"/>
  <c r="Q24" i="36"/>
  <c r="J26" i="36"/>
  <c r="R26" i="36"/>
  <c r="U21" i="36"/>
  <c r="H17" i="36"/>
  <c r="V21" i="36"/>
  <c r="N26" i="36"/>
  <c r="O26" i="36"/>
  <c r="H21" i="36"/>
  <c r="P26" i="36"/>
  <c r="P24" i="36"/>
  <c r="I26" i="36"/>
  <c r="I22" i="36"/>
  <c r="Q22" i="36"/>
  <c r="M28" i="36"/>
  <c r="M24" i="36"/>
  <c r="N24" i="36"/>
  <c r="I15" i="36"/>
  <c r="I18" i="36" s="1"/>
  <c r="Q15" i="36"/>
  <c r="Q18" i="36" s="1"/>
  <c r="V17" i="36" s="1"/>
  <c r="L21" i="36"/>
  <c r="T21" i="36"/>
  <c r="V27" i="35"/>
  <c r="T27" i="35"/>
  <c r="P27" i="35"/>
  <c r="L27" i="35"/>
  <c r="H27" i="35"/>
  <c r="V25" i="35"/>
  <c r="U25" i="35"/>
  <c r="T25" i="35"/>
  <c r="P25" i="35"/>
  <c r="L25" i="35"/>
  <c r="H25" i="35"/>
  <c r="U23" i="35"/>
  <c r="T23" i="35"/>
  <c r="P23" i="35"/>
  <c r="L23" i="35"/>
  <c r="H23" i="35"/>
  <c r="S21" i="35"/>
  <c r="S26" i="35" s="1"/>
  <c r="R21" i="35"/>
  <c r="R26" i="35" s="1"/>
  <c r="Q21" i="35"/>
  <c r="Q26" i="35" s="1"/>
  <c r="O21" i="35"/>
  <c r="O26" i="35" s="1"/>
  <c r="N21" i="35"/>
  <c r="N26" i="35" s="1"/>
  <c r="M21" i="35"/>
  <c r="K21" i="35"/>
  <c r="K26" i="35" s="1"/>
  <c r="J21" i="35"/>
  <c r="J26" i="35" s="1"/>
  <c r="I21" i="35"/>
  <c r="I26" i="35" s="1"/>
  <c r="G21" i="35"/>
  <c r="G26" i="35" s="1"/>
  <c r="F21" i="35"/>
  <c r="F26" i="35" s="1"/>
  <c r="E21" i="35"/>
  <c r="V19" i="35"/>
  <c r="U19" i="35"/>
  <c r="T19" i="35"/>
  <c r="P19" i="35"/>
  <c r="L19" i="35"/>
  <c r="H19" i="35"/>
  <c r="S17" i="35"/>
  <c r="R17" i="35"/>
  <c r="R15" i="35" s="1"/>
  <c r="R14" i="35" s="1"/>
  <c r="Q17" i="35"/>
  <c r="Q15" i="35" s="1"/>
  <c r="O17" i="35"/>
  <c r="N17" i="35"/>
  <c r="N15" i="35" s="1"/>
  <c r="M17" i="35"/>
  <c r="K17" i="35"/>
  <c r="J17" i="35"/>
  <c r="J15" i="35" s="1"/>
  <c r="J20" i="35" s="1"/>
  <c r="I17" i="35"/>
  <c r="I15" i="35" s="1"/>
  <c r="G17" i="35"/>
  <c r="F17" i="35"/>
  <c r="F15" i="35" s="1"/>
  <c r="E17" i="35"/>
  <c r="E15" i="35" s="1"/>
  <c r="E10" i="35" s="1"/>
  <c r="V13" i="35"/>
  <c r="U13" i="35"/>
  <c r="T13" i="35"/>
  <c r="P13" i="35"/>
  <c r="L13" i="35"/>
  <c r="H13" i="35"/>
  <c r="V11" i="35"/>
  <c r="U11" i="35"/>
  <c r="T11" i="35"/>
  <c r="P11" i="35"/>
  <c r="L11" i="35"/>
  <c r="H11" i="35"/>
  <c r="V9" i="35"/>
  <c r="U9" i="35"/>
  <c r="T9" i="35"/>
  <c r="P9" i="35"/>
  <c r="L9" i="35"/>
  <c r="H9" i="35"/>
  <c r="V8" i="35"/>
  <c r="T8" i="35"/>
  <c r="P8" i="35"/>
  <c r="L8" i="35"/>
  <c r="H8" i="35"/>
  <c r="V7" i="35"/>
  <c r="U7" i="35"/>
  <c r="T7" i="35"/>
  <c r="P7" i="35"/>
  <c r="L7" i="35"/>
  <c r="H7" i="35"/>
  <c r="R20" i="36" l="1"/>
  <c r="T18" i="36"/>
  <c r="R14" i="36"/>
  <c r="K10" i="36"/>
  <c r="J10" i="36"/>
  <c r="J16" i="36"/>
  <c r="S30" i="36"/>
  <c r="R10" i="36"/>
  <c r="S32" i="36"/>
  <c r="P10" i="36"/>
  <c r="V23" i="36"/>
  <c r="T29" i="36"/>
  <c r="N16" i="36"/>
  <c r="N14" i="36"/>
  <c r="N31" i="36"/>
  <c r="N20" i="36"/>
  <c r="N12" i="36"/>
  <c r="N10" i="36"/>
  <c r="L29" i="36"/>
  <c r="Q29" i="36"/>
  <c r="R31" i="36"/>
  <c r="R12" i="36"/>
  <c r="R18" i="36"/>
  <c r="T28" i="36"/>
  <c r="N18" i="36"/>
  <c r="I29" i="36"/>
  <c r="L28" i="36"/>
  <c r="K16" i="36"/>
  <c r="K14" i="36"/>
  <c r="K31" i="36"/>
  <c r="K12" i="36"/>
  <c r="K18" i="36"/>
  <c r="J31" i="36"/>
  <c r="J12" i="36"/>
  <c r="J20" i="36"/>
  <c r="J18" i="36"/>
  <c r="P29" i="36"/>
  <c r="M30" i="36"/>
  <c r="P28" i="36"/>
  <c r="M29" i="36"/>
  <c r="O16" i="36"/>
  <c r="O10" i="36"/>
  <c r="O31" i="36"/>
  <c r="O14" i="36"/>
  <c r="O12" i="36"/>
  <c r="P20" i="36"/>
  <c r="O20" i="36"/>
  <c r="P16" i="36"/>
  <c r="V15" i="36"/>
  <c r="H16" i="36"/>
  <c r="H20" i="36"/>
  <c r="H12" i="36"/>
  <c r="H14" i="36"/>
  <c r="P15" i="36"/>
  <c r="P14" i="36"/>
  <c r="Q12" i="36"/>
  <c r="T12" i="36"/>
  <c r="Q16" i="36"/>
  <c r="T14" i="36"/>
  <c r="Q31" i="36"/>
  <c r="T20" i="36"/>
  <c r="Q14" i="36"/>
  <c r="T10" i="36"/>
  <c r="T15" i="36"/>
  <c r="Q10" i="36"/>
  <c r="T16" i="36"/>
  <c r="Q20" i="36"/>
  <c r="H15" i="36"/>
  <c r="V26" i="36"/>
  <c r="V22" i="36"/>
  <c r="V24" i="36"/>
  <c r="U15" i="36"/>
  <c r="V28" i="36"/>
  <c r="H10" i="36"/>
  <c r="P18" i="36"/>
  <c r="I12" i="36"/>
  <c r="I20" i="36"/>
  <c r="I31" i="36"/>
  <c r="L20" i="36"/>
  <c r="I14" i="36"/>
  <c r="L16" i="36"/>
  <c r="L12" i="36"/>
  <c r="I16" i="36"/>
  <c r="L14" i="36"/>
  <c r="L10" i="36"/>
  <c r="L15" i="36"/>
  <c r="I10" i="36"/>
  <c r="P12" i="36"/>
  <c r="U28" i="36"/>
  <c r="V29" i="36" s="1"/>
  <c r="L18" i="36"/>
  <c r="T24" i="35"/>
  <c r="S22" i="35"/>
  <c r="Q20" i="35"/>
  <c r="Q12" i="35"/>
  <c r="Q18" i="35"/>
  <c r="V17" i="35" s="1"/>
  <c r="Q10" i="35"/>
  <c r="F22" i="35"/>
  <c r="N28" i="35"/>
  <c r="N29" i="35" s="1"/>
  <c r="G22" i="35"/>
  <c r="R24" i="35"/>
  <c r="R28" i="35"/>
  <c r="R29" i="35" s="1"/>
  <c r="T17" i="35"/>
  <c r="R22" i="35"/>
  <c r="S24" i="35"/>
  <c r="S28" i="35"/>
  <c r="S29" i="35" s="1"/>
  <c r="O28" i="35"/>
  <c r="O29" i="35" s="1"/>
  <c r="N22" i="35"/>
  <c r="O24" i="35"/>
  <c r="O22" i="35"/>
  <c r="N24" i="35"/>
  <c r="K28" i="35"/>
  <c r="K29" i="35" s="1"/>
  <c r="K24" i="35"/>
  <c r="J22" i="35"/>
  <c r="L24" i="35"/>
  <c r="K22" i="35"/>
  <c r="J24" i="35"/>
  <c r="J28" i="35"/>
  <c r="J29" i="35" s="1"/>
  <c r="J14" i="35"/>
  <c r="P17" i="35"/>
  <c r="N12" i="35"/>
  <c r="N20" i="35"/>
  <c r="N14" i="35"/>
  <c r="M15" i="35"/>
  <c r="M10" i="35" s="1"/>
  <c r="G28" i="35"/>
  <c r="G29" i="35" s="1"/>
  <c r="F28" i="35"/>
  <c r="F29" i="35" s="1"/>
  <c r="F24" i="35"/>
  <c r="G24" i="35"/>
  <c r="F20" i="35"/>
  <c r="F12" i="35"/>
  <c r="F14" i="35"/>
  <c r="I18" i="35"/>
  <c r="I12" i="35"/>
  <c r="R31" i="35"/>
  <c r="R16" i="35"/>
  <c r="R10" i="35"/>
  <c r="J12" i="35"/>
  <c r="R12" i="35"/>
  <c r="E20" i="35"/>
  <c r="E31" i="35"/>
  <c r="E14" i="35"/>
  <c r="E16" i="35"/>
  <c r="L17" i="35"/>
  <c r="S15" i="35"/>
  <c r="T12" i="35" s="1"/>
  <c r="H26" i="35"/>
  <c r="H21" i="35"/>
  <c r="E28" i="35"/>
  <c r="E22" i="35"/>
  <c r="E24" i="35"/>
  <c r="H22" i="35"/>
  <c r="V21" i="35"/>
  <c r="U21" i="35"/>
  <c r="V24" i="35" s="1"/>
  <c r="E12" i="35"/>
  <c r="F31" i="35"/>
  <c r="F16" i="35"/>
  <c r="F10" i="35"/>
  <c r="N31" i="35"/>
  <c r="N16" i="35"/>
  <c r="N10" i="35"/>
  <c r="U17" i="35"/>
  <c r="O15" i="35"/>
  <c r="E18" i="35"/>
  <c r="T26" i="35"/>
  <c r="T21" i="35"/>
  <c r="Q28" i="35"/>
  <c r="Q22" i="35"/>
  <c r="Q24" i="35"/>
  <c r="T22" i="35"/>
  <c r="H24" i="35"/>
  <c r="E26" i="35"/>
  <c r="K15" i="35"/>
  <c r="L14" i="35" s="1"/>
  <c r="I20" i="35"/>
  <c r="I31" i="35"/>
  <c r="I14" i="35"/>
  <c r="I16" i="35"/>
  <c r="P26" i="35"/>
  <c r="P21" i="35"/>
  <c r="M28" i="35"/>
  <c r="M22" i="35"/>
  <c r="M24" i="35"/>
  <c r="P22" i="35"/>
  <c r="I10" i="35"/>
  <c r="J31" i="35"/>
  <c r="J16" i="35"/>
  <c r="J10" i="35"/>
  <c r="G15" i="35"/>
  <c r="H16" i="35" s="1"/>
  <c r="R20" i="35"/>
  <c r="L26" i="35"/>
  <c r="L21" i="35"/>
  <c r="I28" i="35"/>
  <c r="I22" i="35"/>
  <c r="I24" i="35"/>
  <c r="L22" i="35"/>
  <c r="P24" i="35"/>
  <c r="M26" i="35"/>
  <c r="Q16" i="35"/>
  <c r="H17" i="35"/>
  <c r="F18" i="35"/>
  <c r="J18" i="35"/>
  <c r="N18" i="35"/>
  <c r="R18" i="35"/>
  <c r="Q14" i="35"/>
  <c r="Q31" i="35"/>
  <c r="S21" i="32"/>
  <c r="R21" i="32"/>
  <c r="N32" i="36" l="1"/>
  <c r="N30" i="36"/>
  <c r="R30" i="36"/>
  <c r="R32" i="36"/>
  <c r="K30" i="36"/>
  <c r="K32" i="36"/>
  <c r="J30" i="36"/>
  <c r="J32" i="36"/>
  <c r="T31" i="36"/>
  <c r="T32" i="36"/>
  <c r="Q30" i="36"/>
  <c r="Q32" i="36"/>
  <c r="T30" i="36"/>
  <c r="L30" i="36"/>
  <c r="I32" i="36"/>
  <c r="L31" i="36"/>
  <c r="I30" i="36"/>
  <c r="L32" i="36"/>
  <c r="U31" i="36"/>
  <c r="H30" i="36"/>
  <c r="V31" i="36"/>
  <c r="H32" i="36"/>
  <c r="H31" i="36"/>
  <c r="V20" i="36"/>
  <c r="V16" i="36"/>
  <c r="V10" i="36"/>
  <c r="V18" i="36"/>
  <c r="V14" i="36"/>
  <c r="V12" i="36"/>
  <c r="O32" i="36"/>
  <c r="O30" i="36"/>
  <c r="P31" i="36"/>
  <c r="P30" i="36"/>
  <c r="P32" i="36"/>
  <c r="T10" i="35"/>
  <c r="T18" i="35"/>
  <c r="T20" i="35"/>
  <c r="T14" i="35"/>
  <c r="V23" i="35"/>
  <c r="M14" i="35"/>
  <c r="P12" i="35"/>
  <c r="M12" i="35"/>
  <c r="M20" i="35"/>
  <c r="M31" i="35"/>
  <c r="M32" i="35" s="1"/>
  <c r="M16" i="35"/>
  <c r="M18" i="35"/>
  <c r="U15" i="35"/>
  <c r="V12" i="35" s="1"/>
  <c r="H15" i="35"/>
  <c r="G18" i="35"/>
  <c r="H18" i="35" s="1"/>
  <c r="T29" i="35"/>
  <c r="T28" i="35"/>
  <c r="Q29" i="35"/>
  <c r="Q30" i="35"/>
  <c r="Q32" i="35"/>
  <c r="L20" i="35"/>
  <c r="O18" i="35"/>
  <c r="L29" i="35"/>
  <c r="L28" i="35"/>
  <c r="I29" i="35"/>
  <c r="L12" i="35"/>
  <c r="I30" i="35"/>
  <c r="I32" i="35"/>
  <c r="L18" i="35"/>
  <c r="F30" i="35"/>
  <c r="F32" i="35"/>
  <c r="V22" i="35"/>
  <c r="V26" i="35"/>
  <c r="S16" i="35"/>
  <c r="S10" i="35"/>
  <c r="S20" i="35"/>
  <c r="S12" i="35"/>
  <c r="S31" i="35"/>
  <c r="T32" i="35" s="1"/>
  <c r="S14" i="35"/>
  <c r="T16" i="35"/>
  <c r="R30" i="35"/>
  <c r="R32" i="35"/>
  <c r="T15" i="35"/>
  <c r="G16" i="35"/>
  <c r="G20" i="35"/>
  <c r="H20" i="35" s="1"/>
  <c r="G12" i="35"/>
  <c r="H12" i="35" s="1"/>
  <c r="G31" i="35"/>
  <c r="H32" i="35" s="1"/>
  <c r="G14" i="35"/>
  <c r="H14" i="35" s="1"/>
  <c r="G10" i="35"/>
  <c r="H10" i="35" s="1"/>
  <c r="J30" i="35"/>
  <c r="J32" i="35"/>
  <c r="L16" i="35"/>
  <c r="N30" i="35"/>
  <c r="N32" i="35"/>
  <c r="H29" i="35"/>
  <c r="V28" i="35"/>
  <c r="U28" i="35"/>
  <c r="V29" i="35" s="1"/>
  <c r="H28" i="35"/>
  <c r="E29" i="35"/>
  <c r="S18" i="35"/>
  <c r="V15" i="35"/>
  <c r="E30" i="35"/>
  <c r="E32" i="35"/>
  <c r="L10" i="35"/>
  <c r="L15" i="35"/>
  <c r="O16" i="35"/>
  <c r="O10" i="35"/>
  <c r="O20" i="35"/>
  <c r="O12" i="35"/>
  <c r="O31" i="35"/>
  <c r="P16" i="35"/>
  <c r="O14" i="35"/>
  <c r="P10" i="35"/>
  <c r="P18" i="35"/>
  <c r="P14" i="35"/>
  <c r="P15" i="35"/>
  <c r="P29" i="35"/>
  <c r="P28" i="35"/>
  <c r="M29" i="35"/>
  <c r="K16" i="35"/>
  <c r="K20" i="35"/>
  <c r="K12" i="35"/>
  <c r="K31" i="35"/>
  <c r="L31" i="35" s="1"/>
  <c r="K14" i="35"/>
  <c r="K10" i="35"/>
  <c r="K18" i="35"/>
  <c r="P20" i="35"/>
  <c r="H7" i="34"/>
  <c r="L7" i="34"/>
  <c r="P7" i="34"/>
  <c r="T7" i="34"/>
  <c r="U7" i="34"/>
  <c r="V7" i="34"/>
  <c r="H8" i="34"/>
  <c r="L8" i="34"/>
  <c r="P8" i="34"/>
  <c r="T8" i="34"/>
  <c r="V8" i="34"/>
  <c r="H9" i="34"/>
  <c r="L9" i="34"/>
  <c r="P9" i="34"/>
  <c r="T9" i="34"/>
  <c r="U9" i="34"/>
  <c r="V9" i="34"/>
  <c r="H11" i="34"/>
  <c r="L11" i="34"/>
  <c r="P11" i="34"/>
  <c r="T11" i="34"/>
  <c r="U11" i="34"/>
  <c r="V11" i="34"/>
  <c r="H13" i="34"/>
  <c r="L13" i="34"/>
  <c r="P13" i="34"/>
  <c r="T13" i="34"/>
  <c r="U13" i="34"/>
  <c r="V13" i="34"/>
  <c r="K15" i="34"/>
  <c r="K12" i="34" s="1"/>
  <c r="E17" i="34"/>
  <c r="E15" i="34" s="1"/>
  <c r="F17" i="34"/>
  <c r="G17" i="34"/>
  <c r="G15" i="34" s="1"/>
  <c r="I17" i="34"/>
  <c r="I15" i="34" s="1"/>
  <c r="J17" i="34"/>
  <c r="K17" i="34"/>
  <c r="M17" i="34"/>
  <c r="M15" i="34" s="1"/>
  <c r="M10" i="34" s="1"/>
  <c r="N17" i="34"/>
  <c r="N15" i="34" s="1"/>
  <c r="O17" i="34"/>
  <c r="Q17" i="34"/>
  <c r="R17" i="34"/>
  <c r="R15" i="34" s="1"/>
  <c r="S17" i="34"/>
  <c r="H19" i="34"/>
  <c r="L19" i="34"/>
  <c r="P19" i="34"/>
  <c r="T19" i="34"/>
  <c r="U19" i="34"/>
  <c r="V19" i="34"/>
  <c r="E21" i="34"/>
  <c r="H21" i="34" s="1"/>
  <c r="F21" i="34"/>
  <c r="F22" i="34" s="1"/>
  <c r="G21" i="34"/>
  <c r="G22" i="34" s="1"/>
  <c r="I21" i="34"/>
  <c r="I22" i="34" s="1"/>
  <c r="J21" i="34"/>
  <c r="J26" i="34" s="1"/>
  <c r="K21" i="34"/>
  <c r="K26" i="34" s="1"/>
  <c r="M21" i="34"/>
  <c r="N21" i="34"/>
  <c r="N22" i="34" s="1"/>
  <c r="O21" i="34"/>
  <c r="O22" i="34" s="1"/>
  <c r="Q21" i="34"/>
  <c r="R21" i="34"/>
  <c r="R26" i="34" s="1"/>
  <c r="S21" i="34"/>
  <c r="S26" i="34" s="1"/>
  <c r="E22" i="34"/>
  <c r="M22" i="34"/>
  <c r="H23" i="34"/>
  <c r="L23" i="34"/>
  <c r="P23" i="34"/>
  <c r="T23" i="34"/>
  <c r="U23" i="34"/>
  <c r="K24" i="34"/>
  <c r="M24" i="34"/>
  <c r="N24" i="34"/>
  <c r="H25" i="34"/>
  <c r="L25" i="34"/>
  <c r="P25" i="34"/>
  <c r="T25" i="34"/>
  <c r="U25" i="34"/>
  <c r="V25" i="34"/>
  <c r="M26" i="34"/>
  <c r="Q26" i="34"/>
  <c r="H27" i="34"/>
  <c r="L27" i="34"/>
  <c r="P27" i="34"/>
  <c r="T27" i="34"/>
  <c r="V27" i="34"/>
  <c r="E28" i="34"/>
  <c r="E29" i="34" s="1"/>
  <c r="M28" i="34"/>
  <c r="M29" i="34" s="1"/>
  <c r="Q28" i="34"/>
  <c r="Q29" i="34" s="1"/>
  <c r="R28" i="34"/>
  <c r="G18" i="34" l="1"/>
  <c r="G12" i="34"/>
  <c r="G31" i="34"/>
  <c r="G16" i="34"/>
  <c r="I26" i="34"/>
  <c r="O24" i="34"/>
  <c r="E24" i="34"/>
  <c r="L21" i="34"/>
  <c r="O15" i="34"/>
  <c r="I28" i="34"/>
  <c r="I29" i="34" s="1"/>
  <c r="J24" i="34"/>
  <c r="T21" i="34"/>
  <c r="I24" i="34"/>
  <c r="R24" i="34"/>
  <c r="P17" i="34"/>
  <c r="S24" i="34"/>
  <c r="E26" i="34"/>
  <c r="G24" i="34"/>
  <c r="Q22" i="34"/>
  <c r="Q24" i="34"/>
  <c r="F24" i="34"/>
  <c r="P21" i="34"/>
  <c r="V30" i="36"/>
  <c r="V32" i="36"/>
  <c r="M30" i="35"/>
  <c r="I10" i="34"/>
  <c r="I20" i="34"/>
  <c r="L18" i="34"/>
  <c r="R12" i="34"/>
  <c r="R14" i="34"/>
  <c r="R20" i="34"/>
  <c r="R16" i="34"/>
  <c r="R31" i="34"/>
  <c r="R32" i="34" s="1"/>
  <c r="R18" i="34"/>
  <c r="T18" i="34"/>
  <c r="E10" i="34"/>
  <c r="E20" i="34"/>
  <c r="N12" i="34"/>
  <c r="N16" i="34"/>
  <c r="N31" i="34"/>
  <c r="N32" i="34" s="1"/>
  <c r="N20" i="34"/>
  <c r="N14" i="34"/>
  <c r="T29" i="34"/>
  <c r="G32" i="34"/>
  <c r="H26" i="34"/>
  <c r="V21" i="34"/>
  <c r="M20" i="34"/>
  <c r="P18" i="34"/>
  <c r="J28" i="34"/>
  <c r="O26" i="34"/>
  <c r="G26" i="34"/>
  <c r="S22" i="34"/>
  <c r="K22" i="34"/>
  <c r="U21" i="34"/>
  <c r="K20" i="34"/>
  <c r="T17" i="34"/>
  <c r="L17" i="34"/>
  <c r="J15" i="34"/>
  <c r="G10" i="34"/>
  <c r="K28" i="34"/>
  <c r="K29" i="34" s="1"/>
  <c r="P26" i="34"/>
  <c r="T22" i="34"/>
  <c r="L22" i="34"/>
  <c r="U17" i="34"/>
  <c r="K10" i="34"/>
  <c r="S28" i="34"/>
  <c r="S29" i="34" s="1"/>
  <c r="N26" i="34"/>
  <c r="F26" i="34"/>
  <c r="T24" i="34"/>
  <c r="L24" i="34"/>
  <c r="V23" i="34" s="1"/>
  <c r="R22" i="34"/>
  <c r="J22" i="34"/>
  <c r="N18" i="34"/>
  <c r="S15" i="34"/>
  <c r="K14" i="34"/>
  <c r="T28" i="34"/>
  <c r="T26" i="34"/>
  <c r="P22" i="34"/>
  <c r="H22" i="34"/>
  <c r="G20" i="34"/>
  <c r="K18" i="34"/>
  <c r="Q15" i="34"/>
  <c r="F15" i="34"/>
  <c r="F18" i="34" s="1"/>
  <c r="G14" i="34"/>
  <c r="G28" i="34"/>
  <c r="G29" i="34" s="1"/>
  <c r="L26" i="34"/>
  <c r="O28" i="34"/>
  <c r="O29" i="34" s="1"/>
  <c r="J18" i="34"/>
  <c r="H17" i="34"/>
  <c r="K16" i="34"/>
  <c r="O12" i="34"/>
  <c r="F28" i="34"/>
  <c r="K31" i="34"/>
  <c r="N28" i="34"/>
  <c r="N29" i="34" s="1"/>
  <c r="P24" i="34"/>
  <c r="H24" i="34"/>
  <c r="P32" i="35"/>
  <c r="U31" i="35"/>
  <c r="V32" i="35" s="1"/>
  <c r="V20" i="35"/>
  <c r="H30" i="35"/>
  <c r="V14" i="35"/>
  <c r="V16" i="35"/>
  <c r="V10" i="35"/>
  <c r="V18" i="35"/>
  <c r="H31" i="35"/>
  <c r="P30" i="35"/>
  <c r="K30" i="35"/>
  <c r="K32" i="35"/>
  <c r="G30" i="35"/>
  <c r="G32" i="35"/>
  <c r="L30" i="35"/>
  <c r="L32" i="35"/>
  <c r="T31" i="35"/>
  <c r="T30" i="35"/>
  <c r="O30" i="35"/>
  <c r="O32" i="35"/>
  <c r="V31" i="35"/>
  <c r="P31" i="35"/>
  <c r="S30" i="35"/>
  <c r="S32" i="35"/>
  <c r="E12" i="34"/>
  <c r="T10" i="34"/>
  <c r="Q31" i="34"/>
  <c r="M31" i="34"/>
  <c r="I31" i="34"/>
  <c r="E31" i="34"/>
  <c r="R30" i="34"/>
  <c r="T20" i="34"/>
  <c r="P20" i="34"/>
  <c r="L20" i="34"/>
  <c r="T15" i="34"/>
  <c r="P15" i="34"/>
  <c r="L15" i="34"/>
  <c r="H15" i="34"/>
  <c r="Q14" i="34"/>
  <c r="M14" i="34"/>
  <c r="I14" i="34"/>
  <c r="E14" i="34"/>
  <c r="T12" i="34"/>
  <c r="P12" i="34"/>
  <c r="L12" i="34"/>
  <c r="M12" i="34"/>
  <c r="P10" i="34"/>
  <c r="R29" i="34"/>
  <c r="J29" i="34"/>
  <c r="Q16" i="34"/>
  <c r="M16" i="34"/>
  <c r="I16" i="34"/>
  <c r="E16" i="34"/>
  <c r="T14" i="34"/>
  <c r="P14" i="34"/>
  <c r="L14" i="34"/>
  <c r="R10" i="34"/>
  <c r="N10" i="34"/>
  <c r="J10" i="34"/>
  <c r="F10" i="34"/>
  <c r="Q12" i="34"/>
  <c r="I12" i="34"/>
  <c r="L10" i="34"/>
  <c r="Q18" i="34"/>
  <c r="V17" i="34" s="1"/>
  <c r="M18" i="34"/>
  <c r="I18" i="34"/>
  <c r="E18" i="34"/>
  <c r="T16" i="34"/>
  <c r="P16" i="34"/>
  <c r="L16" i="34"/>
  <c r="H16" i="34"/>
  <c r="L27" i="32"/>
  <c r="G30" i="34" l="1"/>
  <c r="H28" i="34"/>
  <c r="O20" i="34"/>
  <c r="O14" i="34"/>
  <c r="O31" i="34"/>
  <c r="O32" i="34" s="1"/>
  <c r="O10" i="34"/>
  <c r="O16" i="34"/>
  <c r="O18" i="34"/>
  <c r="P28" i="34"/>
  <c r="L28" i="34"/>
  <c r="L29" i="34"/>
  <c r="V28" i="34"/>
  <c r="H10" i="34"/>
  <c r="K30" i="34"/>
  <c r="K32" i="34"/>
  <c r="V24" i="34"/>
  <c r="V26" i="34"/>
  <c r="V22" i="34"/>
  <c r="U28" i="34"/>
  <c r="V29" i="34" s="1"/>
  <c r="F12" i="34"/>
  <c r="H12" i="34" s="1"/>
  <c r="F14" i="34"/>
  <c r="H14" i="34" s="1"/>
  <c r="F20" i="34"/>
  <c r="H20" i="34" s="1"/>
  <c r="F31" i="34"/>
  <c r="U31" i="34" s="1"/>
  <c r="F16" i="34"/>
  <c r="H18" i="34"/>
  <c r="Q10" i="34"/>
  <c r="Q20" i="34"/>
  <c r="S10" i="34"/>
  <c r="S14" i="34"/>
  <c r="S12" i="34"/>
  <c r="S20" i="34"/>
  <c r="S16" i="34"/>
  <c r="S31" i="34"/>
  <c r="T32" i="34" s="1"/>
  <c r="P29" i="34"/>
  <c r="U15" i="34"/>
  <c r="S18" i="34"/>
  <c r="V15" i="34"/>
  <c r="F29" i="34"/>
  <c r="N30" i="34"/>
  <c r="O30" i="34"/>
  <c r="J12" i="34"/>
  <c r="J16" i="34"/>
  <c r="J31" i="34"/>
  <c r="J14" i="34"/>
  <c r="J20" i="34"/>
  <c r="H29" i="34"/>
  <c r="V30" i="35"/>
  <c r="T30" i="34"/>
  <c r="Q32" i="34"/>
  <c r="Q30" i="34"/>
  <c r="T31" i="34"/>
  <c r="E32" i="34"/>
  <c r="E30" i="34"/>
  <c r="P30" i="34"/>
  <c r="M32" i="34"/>
  <c r="M30" i="34"/>
  <c r="P31" i="34"/>
  <c r="P32" i="34"/>
  <c r="I32" i="34"/>
  <c r="I30" i="34"/>
  <c r="L31" i="34"/>
  <c r="V27" i="32"/>
  <c r="T27" i="32"/>
  <c r="P27" i="32"/>
  <c r="H27" i="32"/>
  <c r="V25" i="32"/>
  <c r="U25" i="32"/>
  <c r="T25" i="32"/>
  <c r="P25" i="32"/>
  <c r="L25" i="32"/>
  <c r="H25" i="32"/>
  <c r="T23" i="32"/>
  <c r="L23" i="32"/>
  <c r="H23" i="32"/>
  <c r="S28" i="32"/>
  <c r="S29" i="32" s="1"/>
  <c r="R24" i="32"/>
  <c r="Q21" i="32"/>
  <c r="Q26" i="32" s="1"/>
  <c r="O21" i="32"/>
  <c r="O28" i="32" s="1"/>
  <c r="O29" i="32" s="1"/>
  <c r="N21" i="32"/>
  <c r="N24" i="32" s="1"/>
  <c r="K21" i="32"/>
  <c r="K28" i="32" s="1"/>
  <c r="K29" i="32" s="1"/>
  <c r="J21" i="32"/>
  <c r="J24" i="32" s="1"/>
  <c r="I21" i="32"/>
  <c r="I26" i="32" s="1"/>
  <c r="G21" i="32"/>
  <c r="G28" i="32" s="1"/>
  <c r="G29" i="32" s="1"/>
  <c r="F21" i="32"/>
  <c r="F24" i="32" s="1"/>
  <c r="E21" i="32"/>
  <c r="E26" i="32" s="1"/>
  <c r="V19" i="32"/>
  <c r="U19" i="32"/>
  <c r="T19" i="32"/>
  <c r="P19" i="32"/>
  <c r="L19" i="32"/>
  <c r="H19" i="32"/>
  <c r="S17" i="32"/>
  <c r="S15" i="32" s="1"/>
  <c r="R17" i="32"/>
  <c r="Q17" i="32"/>
  <c r="Q15" i="32" s="1"/>
  <c r="Q20" i="32" s="1"/>
  <c r="O17" i="32"/>
  <c r="O15" i="32" s="1"/>
  <c r="O31" i="32" s="1"/>
  <c r="N17" i="32"/>
  <c r="M17" i="32"/>
  <c r="M15" i="32" s="1"/>
  <c r="M20" i="32" s="1"/>
  <c r="K17" i="32"/>
  <c r="K15" i="32" s="1"/>
  <c r="K31" i="32" s="1"/>
  <c r="J17" i="32"/>
  <c r="I17" i="32"/>
  <c r="G17" i="32"/>
  <c r="G15" i="32" s="1"/>
  <c r="F17" i="32"/>
  <c r="E17" i="32"/>
  <c r="E15" i="32" s="1"/>
  <c r="E14" i="32" s="1"/>
  <c r="V13" i="32"/>
  <c r="U13" i="32"/>
  <c r="T13" i="32"/>
  <c r="P13" i="32"/>
  <c r="L13" i="32"/>
  <c r="H13" i="32"/>
  <c r="V11" i="32"/>
  <c r="U11" i="32"/>
  <c r="T11" i="32"/>
  <c r="P11" i="32"/>
  <c r="L11" i="32"/>
  <c r="H11" i="32"/>
  <c r="V9" i="32"/>
  <c r="U9" i="32"/>
  <c r="T9" i="32"/>
  <c r="P9" i="32"/>
  <c r="L9" i="32"/>
  <c r="H9" i="32"/>
  <c r="V8" i="32"/>
  <c r="T8" i="32"/>
  <c r="P8" i="32"/>
  <c r="L8" i="32"/>
  <c r="H8" i="32"/>
  <c r="V7" i="32"/>
  <c r="U7" i="32"/>
  <c r="T7" i="32"/>
  <c r="P7" i="32"/>
  <c r="L7" i="32"/>
  <c r="H7" i="32"/>
  <c r="H32" i="34" l="1"/>
  <c r="J32" i="34"/>
  <c r="J30" i="34"/>
  <c r="V10" i="34"/>
  <c r="V12" i="34"/>
  <c r="V14" i="34"/>
  <c r="V16" i="34"/>
  <c r="V20" i="34"/>
  <c r="F32" i="34"/>
  <c r="F30" i="34"/>
  <c r="L30" i="34"/>
  <c r="H31" i="34"/>
  <c r="V31" i="34"/>
  <c r="S32" i="34"/>
  <c r="S30" i="34"/>
  <c r="L32" i="34"/>
  <c r="H30" i="34"/>
  <c r="V18" i="34"/>
  <c r="V32" i="34"/>
  <c r="V30" i="34"/>
  <c r="I22" i="32"/>
  <c r="F22" i="32"/>
  <c r="F28" i="32"/>
  <c r="H28" i="32" s="1"/>
  <c r="R22" i="32"/>
  <c r="K24" i="32"/>
  <c r="J22" i="32"/>
  <c r="J28" i="32"/>
  <c r="L21" i="32"/>
  <c r="I28" i="32"/>
  <c r="I29" i="32" s="1"/>
  <c r="I24" i="32"/>
  <c r="L26" i="32"/>
  <c r="Q28" i="32"/>
  <c r="Q29" i="32" s="1"/>
  <c r="R28" i="32"/>
  <c r="R29" i="32" s="1"/>
  <c r="Q22" i="32"/>
  <c r="Q24" i="32"/>
  <c r="T21" i="32"/>
  <c r="S24" i="32"/>
  <c r="T26" i="32"/>
  <c r="S31" i="32"/>
  <c r="S30" i="32" s="1"/>
  <c r="S10" i="32"/>
  <c r="S16" i="32"/>
  <c r="S12" i="32"/>
  <c r="Q12" i="32"/>
  <c r="Q14" i="32"/>
  <c r="K12" i="32"/>
  <c r="K16" i="32"/>
  <c r="K10" i="32"/>
  <c r="I15" i="32"/>
  <c r="I16" i="32" s="1"/>
  <c r="N22" i="32"/>
  <c r="O24" i="32"/>
  <c r="N28" i="32"/>
  <c r="N29" i="32" s="1"/>
  <c r="M14" i="32"/>
  <c r="O16" i="32"/>
  <c r="O10" i="32"/>
  <c r="O12" i="32"/>
  <c r="M18" i="32"/>
  <c r="M12" i="32"/>
  <c r="G24" i="32"/>
  <c r="E22" i="32"/>
  <c r="H21" i="32"/>
  <c r="H26" i="32"/>
  <c r="E28" i="32"/>
  <c r="E29" i="32" s="1"/>
  <c r="E24" i="32"/>
  <c r="G31" i="32"/>
  <c r="G32" i="32" s="1"/>
  <c r="G12" i="32"/>
  <c r="G10" i="32"/>
  <c r="G16" i="32"/>
  <c r="K30" i="32"/>
  <c r="K32" i="32"/>
  <c r="E10" i="32"/>
  <c r="E31" i="32"/>
  <c r="E16" i="32"/>
  <c r="E20" i="32"/>
  <c r="O30" i="32"/>
  <c r="O32" i="32"/>
  <c r="E18" i="32"/>
  <c r="J15" i="32"/>
  <c r="Q10" i="32"/>
  <c r="Q31" i="32"/>
  <c r="Q16" i="32"/>
  <c r="F15" i="32"/>
  <c r="H16" i="32" s="1"/>
  <c r="Q18" i="32"/>
  <c r="V17" i="32" s="1"/>
  <c r="R15" i="32"/>
  <c r="T20" i="32" s="1"/>
  <c r="M10" i="32"/>
  <c r="M31" i="32"/>
  <c r="M16" i="32"/>
  <c r="N15" i="32"/>
  <c r="P14" i="32" s="1"/>
  <c r="E12" i="32"/>
  <c r="H17" i="32"/>
  <c r="L17" i="32"/>
  <c r="P17" i="32"/>
  <c r="T17" i="32"/>
  <c r="G20" i="32"/>
  <c r="K20" i="32"/>
  <c r="O20" i="32"/>
  <c r="S20" i="32"/>
  <c r="H22" i="32"/>
  <c r="L22" i="32"/>
  <c r="T22" i="32"/>
  <c r="F26" i="32"/>
  <c r="J26" i="32"/>
  <c r="N26" i="32"/>
  <c r="R26" i="32"/>
  <c r="U17" i="32"/>
  <c r="G18" i="32"/>
  <c r="K18" i="32"/>
  <c r="O18" i="32"/>
  <c r="S18" i="32"/>
  <c r="G26" i="32"/>
  <c r="K26" i="32"/>
  <c r="O26" i="32"/>
  <c r="S26" i="32"/>
  <c r="G14" i="32"/>
  <c r="K14" i="32"/>
  <c r="O14" i="32"/>
  <c r="S14" i="32"/>
  <c r="G22" i="32"/>
  <c r="K22" i="32"/>
  <c r="O22" i="32"/>
  <c r="S22" i="32"/>
  <c r="H24" i="32"/>
  <c r="L24" i="32"/>
  <c r="T24" i="32"/>
  <c r="H29" i="32" l="1"/>
  <c r="L29" i="32"/>
  <c r="F29" i="32"/>
  <c r="T28" i="32"/>
  <c r="J29" i="32"/>
  <c r="L28" i="32"/>
  <c r="T29" i="32"/>
  <c r="S32" i="32"/>
  <c r="I20" i="32"/>
  <c r="I14" i="32"/>
  <c r="I12" i="32"/>
  <c r="I31" i="32"/>
  <c r="I30" i="32" s="1"/>
  <c r="I18" i="32"/>
  <c r="I10" i="32"/>
  <c r="P18" i="32"/>
  <c r="P16" i="32"/>
  <c r="P15" i="32"/>
  <c r="N18" i="32"/>
  <c r="G30" i="32"/>
  <c r="F18" i="32"/>
  <c r="H18" i="32" s="1"/>
  <c r="H15" i="32"/>
  <c r="J20" i="32"/>
  <c r="J12" i="32"/>
  <c r="J31" i="32"/>
  <c r="J16" i="32"/>
  <c r="L10" i="32"/>
  <c r="J14" i="32"/>
  <c r="L12" i="32"/>
  <c r="J10" i="32"/>
  <c r="L18" i="32"/>
  <c r="V15" i="32"/>
  <c r="P20" i="32"/>
  <c r="T16" i="32"/>
  <c r="L20" i="32"/>
  <c r="P12" i="32"/>
  <c r="M32" i="32"/>
  <c r="R18" i="32"/>
  <c r="F20" i="32"/>
  <c r="H20" i="32" s="1"/>
  <c r="F12" i="32"/>
  <c r="H12" i="32" s="1"/>
  <c r="F31" i="32"/>
  <c r="F16" i="32"/>
  <c r="F14" i="32"/>
  <c r="H14" i="32" s="1"/>
  <c r="U15" i="32"/>
  <c r="V18" i="32" s="1"/>
  <c r="F10" i="32"/>
  <c r="H10" i="32" s="1"/>
  <c r="L14" i="32"/>
  <c r="J18" i="32"/>
  <c r="R20" i="32"/>
  <c r="R12" i="32"/>
  <c r="R31" i="32"/>
  <c r="T32" i="32" s="1"/>
  <c r="R16" i="32"/>
  <c r="R10" i="32"/>
  <c r="R14" i="32"/>
  <c r="T12" i="32"/>
  <c r="T10" i="32"/>
  <c r="Q32" i="32"/>
  <c r="Q30" i="32"/>
  <c r="L15" i="32"/>
  <c r="T14" i="32"/>
  <c r="L16" i="32"/>
  <c r="N20" i="32"/>
  <c r="N12" i="32"/>
  <c r="N31" i="32"/>
  <c r="P31" i="32" s="1"/>
  <c r="N16" i="32"/>
  <c r="P10" i="32"/>
  <c r="N14" i="32"/>
  <c r="N10" i="32"/>
  <c r="T15" i="32"/>
  <c r="E32" i="32"/>
  <c r="E30" i="32"/>
  <c r="T18" i="32"/>
  <c r="H32" i="31"/>
  <c r="H31" i="31"/>
  <c r="H30" i="31"/>
  <c r="H29" i="31"/>
  <c r="H28" i="31"/>
  <c r="V27" i="31"/>
  <c r="T27" i="31"/>
  <c r="P27" i="31"/>
  <c r="L27" i="31"/>
  <c r="H27" i="31"/>
  <c r="H26" i="31"/>
  <c r="V25" i="31"/>
  <c r="U25" i="31"/>
  <c r="T25" i="31"/>
  <c r="P25" i="31"/>
  <c r="L25" i="31"/>
  <c r="H25" i="31"/>
  <c r="H24" i="31"/>
  <c r="U23" i="31"/>
  <c r="T23" i="31"/>
  <c r="P23" i="31"/>
  <c r="L23" i="31"/>
  <c r="H23" i="31"/>
  <c r="R22" i="31"/>
  <c r="H22" i="31"/>
  <c r="S21" i="31"/>
  <c r="S28" i="31" s="1"/>
  <c r="S29" i="31" s="1"/>
  <c r="R21" i="31"/>
  <c r="R28" i="31" s="1"/>
  <c r="R29" i="31" s="1"/>
  <c r="Q21" i="31"/>
  <c r="O21" i="31"/>
  <c r="N21" i="31"/>
  <c r="N28" i="31" s="1"/>
  <c r="N29" i="31" s="1"/>
  <c r="M21" i="31"/>
  <c r="K21" i="31"/>
  <c r="K28" i="31" s="1"/>
  <c r="K29" i="31" s="1"/>
  <c r="J21" i="31"/>
  <c r="J28" i="31" s="1"/>
  <c r="J29" i="31" s="1"/>
  <c r="I21" i="31"/>
  <c r="H21" i="31"/>
  <c r="H20" i="31"/>
  <c r="V19" i="31"/>
  <c r="U19" i="31"/>
  <c r="T19" i="31"/>
  <c r="P19" i="31"/>
  <c r="L19" i="31"/>
  <c r="H19" i="31"/>
  <c r="H18" i="31"/>
  <c r="S17" i="31"/>
  <c r="S15" i="31" s="1"/>
  <c r="R17" i="31"/>
  <c r="Q17" i="31"/>
  <c r="O17" i="31"/>
  <c r="N17" i="31"/>
  <c r="M17" i="31"/>
  <c r="M15" i="31" s="1"/>
  <c r="K17" i="31"/>
  <c r="K15" i="31" s="1"/>
  <c r="J17" i="31"/>
  <c r="I17" i="31"/>
  <c r="I15" i="31" s="1"/>
  <c r="H17" i="31"/>
  <c r="H16" i="31"/>
  <c r="O15" i="31"/>
  <c r="O20" i="31" s="1"/>
  <c r="J15" i="31"/>
  <c r="J20" i="31" s="1"/>
  <c r="H15" i="31"/>
  <c r="H14" i="31"/>
  <c r="V13" i="31"/>
  <c r="U13" i="31"/>
  <c r="T13" i="31"/>
  <c r="P13" i="31"/>
  <c r="L13" i="31"/>
  <c r="H13" i="31"/>
  <c r="H12" i="31"/>
  <c r="V11" i="31"/>
  <c r="U11" i="31"/>
  <c r="T11" i="31"/>
  <c r="P11" i="31"/>
  <c r="L11" i="31"/>
  <c r="H11" i="31"/>
  <c r="O10" i="31"/>
  <c r="H10" i="31"/>
  <c r="V9" i="31"/>
  <c r="U9" i="31"/>
  <c r="T9" i="31"/>
  <c r="P9" i="31"/>
  <c r="L9" i="31"/>
  <c r="H9" i="31"/>
  <c r="V8" i="31"/>
  <c r="T8" i="31"/>
  <c r="P8" i="31"/>
  <c r="L8" i="31"/>
  <c r="H8" i="31"/>
  <c r="V7" i="31"/>
  <c r="U7" i="31"/>
  <c r="T7" i="31"/>
  <c r="P7" i="31"/>
  <c r="L7" i="31"/>
  <c r="H7" i="31"/>
  <c r="M14" i="31" l="1"/>
  <c r="M10" i="31"/>
  <c r="L26" i="31"/>
  <c r="J10" i="31"/>
  <c r="I14" i="31"/>
  <c r="I10" i="31"/>
  <c r="I12" i="31"/>
  <c r="S20" i="31"/>
  <c r="S10" i="31"/>
  <c r="M18" i="31"/>
  <c r="P24" i="31"/>
  <c r="J14" i="31"/>
  <c r="J12" i="31"/>
  <c r="M12" i="31"/>
  <c r="L32" i="32"/>
  <c r="I32" i="32"/>
  <c r="L31" i="32"/>
  <c r="T31" i="32"/>
  <c r="V31" i="32"/>
  <c r="P32" i="32"/>
  <c r="H31" i="32"/>
  <c r="H32" i="32"/>
  <c r="H30" i="32"/>
  <c r="U31" i="32"/>
  <c r="N30" i="32"/>
  <c r="N32" i="32"/>
  <c r="R30" i="32"/>
  <c r="R32" i="32"/>
  <c r="F30" i="32"/>
  <c r="F32" i="32"/>
  <c r="J30" i="32"/>
  <c r="J32" i="32"/>
  <c r="T30" i="32"/>
  <c r="L30" i="32"/>
  <c r="V14" i="32"/>
  <c r="V16" i="32"/>
  <c r="V20" i="32"/>
  <c r="V12" i="32"/>
  <c r="V10" i="32"/>
  <c r="K12" i="31"/>
  <c r="L14" i="31"/>
  <c r="L10" i="31"/>
  <c r="K14" i="31"/>
  <c r="L12" i="31"/>
  <c r="K10" i="31"/>
  <c r="Q18" i="31"/>
  <c r="V17" i="31" s="1"/>
  <c r="P22" i="31"/>
  <c r="J24" i="31"/>
  <c r="N26" i="31"/>
  <c r="I18" i="31"/>
  <c r="N24" i="31"/>
  <c r="R26" i="31"/>
  <c r="Q15" i="31"/>
  <c r="T26" i="31"/>
  <c r="J22" i="31"/>
  <c r="N22" i="31"/>
  <c r="R24" i="31"/>
  <c r="J26" i="31"/>
  <c r="O12" i="31"/>
  <c r="S12" i="31"/>
  <c r="O14" i="31"/>
  <c r="S14" i="31"/>
  <c r="I31" i="31"/>
  <c r="L20" i="31"/>
  <c r="I16" i="31"/>
  <c r="K31" i="31"/>
  <c r="K16" i="31"/>
  <c r="M31" i="31"/>
  <c r="M16" i="31"/>
  <c r="Q31" i="31"/>
  <c r="Q16" i="31"/>
  <c r="J16" i="31"/>
  <c r="J18" i="31"/>
  <c r="L17" i="31"/>
  <c r="N15" i="31"/>
  <c r="P17" i="31"/>
  <c r="R15" i="31"/>
  <c r="T15" i="31" s="1"/>
  <c r="T17" i="31"/>
  <c r="K18" i="31"/>
  <c r="O18" i="31"/>
  <c r="S18" i="31"/>
  <c r="K20" i="31"/>
  <c r="M26" i="31"/>
  <c r="M24" i="31"/>
  <c r="M22" i="31"/>
  <c r="P21" i="31"/>
  <c r="O26" i="31"/>
  <c r="O24" i="31"/>
  <c r="O22" i="31"/>
  <c r="U21" i="31"/>
  <c r="V22" i="31" s="1"/>
  <c r="P26" i="31"/>
  <c r="O28" i="31"/>
  <c r="O29" i="31" s="1"/>
  <c r="L15" i="31"/>
  <c r="O31" i="31"/>
  <c r="O16" i="31"/>
  <c r="S31" i="31"/>
  <c r="S16" i="31"/>
  <c r="L16" i="31"/>
  <c r="L18" i="31"/>
  <c r="I20" i="31"/>
  <c r="M20" i="31"/>
  <c r="Q20" i="31"/>
  <c r="I26" i="31"/>
  <c r="I24" i="31"/>
  <c r="I22" i="31"/>
  <c r="V21" i="31"/>
  <c r="L21" i="31"/>
  <c r="K26" i="31"/>
  <c r="K24" i="31"/>
  <c r="K22" i="31"/>
  <c r="Q26" i="31"/>
  <c r="Q24" i="31"/>
  <c r="Q22" i="31"/>
  <c r="T21" i="31"/>
  <c r="S26" i="31"/>
  <c r="S24" i="31"/>
  <c r="S22" i="31"/>
  <c r="L22" i="31"/>
  <c r="T22" i="31"/>
  <c r="L24" i="31"/>
  <c r="T24" i="31"/>
  <c r="I28" i="31"/>
  <c r="M28" i="31"/>
  <c r="Q28" i="31"/>
  <c r="J31" i="31"/>
  <c r="U17" i="31"/>
  <c r="T18" i="31" l="1"/>
  <c r="U15" i="31"/>
  <c r="P18" i="31"/>
  <c r="T20" i="31"/>
  <c r="R18" i="31"/>
  <c r="V23" i="31"/>
  <c r="V26" i="31"/>
  <c r="V32" i="32"/>
  <c r="Q14" i="31"/>
  <c r="Q12" i="31"/>
  <c r="Q10" i="31"/>
  <c r="V16" i="31"/>
  <c r="V20" i="31"/>
  <c r="V10" i="31"/>
  <c r="V14" i="31"/>
  <c r="V12" i="31"/>
  <c r="M29" i="31"/>
  <c r="P28" i="31"/>
  <c r="P29" i="31"/>
  <c r="V18" i="31"/>
  <c r="Q29" i="31"/>
  <c r="T28" i="31"/>
  <c r="T29" i="31"/>
  <c r="I29" i="31"/>
  <c r="V28" i="31"/>
  <c r="L28" i="31"/>
  <c r="U28" i="31"/>
  <c r="V29" i="31" s="1"/>
  <c r="L29" i="31"/>
  <c r="V24" i="31"/>
  <c r="R20" i="31"/>
  <c r="R31" i="31"/>
  <c r="T32" i="31" s="1"/>
  <c r="T16" i="31"/>
  <c r="T14" i="31"/>
  <c r="R14" i="31"/>
  <c r="T12" i="31"/>
  <c r="R12" i="31"/>
  <c r="R10" i="31"/>
  <c r="R16" i="31"/>
  <c r="T10" i="31"/>
  <c r="N18" i="31"/>
  <c r="Q30" i="31"/>
  <c r="Q32" i="31"/>
  <c r="M30" i="31"/>
  <c r="M32" i="31"/>
  <c r="K30" i="31"/>
  <c r="K32" i="31"/>
  <c r="L32" i="31"/>
  <c r="I30" i="31"/>
  <c r="I32" i="31"/>
  <c r="L30" i="31"/>
  <c r="L31" i="31"/>
  <c r="J32" i="31"/>
  <c r="J30" i="31"/>
  <c r="S30" i="31"/>
  <c r="S32" i="31"/>
  <c r="O30" i="31"/>
  <c r="O32" i="31"/>
  <c r="N20" i="31"/>
  <c r="N31" i="31"/>
  <c r="P31" i="31" s="1"/>
  <c r="P16" i="31"/>
  <c r="P14" i="31"/>
  <c r="N14" i="31"/>
  <c r="P12" i="31"/>
  <c r="N12" i="31"/>
  <c r="P10" i="31"/>
  <c r="N16" i="31"/>
  <c r="N10" i="31"/>
  <c r="P15" i="31"/>
  <c r="P20" i="31"/>
  <c r="V15" i="31"/>
  <c r="T30" i="31" l="1"/>
  <c r="P32" i="31"/>
  <c r="U31" i="31"/>
  <c r="V30" i="31" s="1"/>
  <c r="T31" i="31"/>
  <c r="N32" i="31"/>
  <c r="N30" i="31"/>
  <c r="V31" i="31"/>
  <c r="P30" i="31"/>
  <c r="R32" i="31"/>
  <c r="R30" i="31"/>
  <c r="V32" i="31"/>
  <c r="F21" i="30" l="1"/>
  <c r="G21" i="30"/>
  <c r="F17" i="30"/>
  <c r="G17" i="30"/>
  <c r="E17" i="30"/>
  <c r="H7" i="30"/>
  <c r="L7" i="30"/>
  <c r="P7" i="30"/>
  <c r="T7" i="30"/>
  <c r="H8" i="30"/>
  <c r="L8" i="30"/>
  <c r="P8" i="30"/>
  <c r="T8" i="30"/>
  <c r="G26" i="30" l="1"/>
  <c r="G22" i="30"/>
  <c r="F28" i="30"/>
  <c r="F29" i="30" s="1"/>
  <c r="F22" i="30"/>
  <c r="G24" i="30"/>
  <c r="G28" i="30"/>
  <c r="G29" i="30" s="1"/>
  <c r="F24" i="30"/>
  <c r="F26" i="30"/>
  <c r="G15" i="30"/>
  <c r="F15" i="30"/>
  <c r="E15" i="30"/>
  <c r="E10" i="30"/>
  <c r="V27" i="30"/>
  <c r="T27" i="30"/>
  <c r="P27" i="30"/>
  <c r="L27" i="30"/>
  <c r="H27" i="30"/>
  <c r="V25" i="30"/>
  <c r="U25" i="30"/>
  <c r="T25" i="30"/>
  <c r="P25" i="30"/>
  <c r="L25" i="30"/>
  <c r="H25" i="30"/>
  <c r="T23" i="30"/>
  <c r="P23" i="30"/>
  <c r="L23" i="30"/>
  <c r="S21" i="30"/>
  <c r="S28" i="30" s="1"/>
  <c r="S29" i="30" s="1"/>
  <c r="R21" i="30"/>
  <c r="R24" i="30" s="1"/>
  <c r="Q21" i="30"/>
  <c r="Q28" i="30" s="1"/>
  <c r="O21" i="30"/>
  <c r="O28" i="30" s="1"/>
  <c r="O29" i="30" s="1"/>
  <c r="N21" i="30"/>
  <c r="N24" i="30" s="1"/>
  <c r="M21" i="30"/>
  <c r="M28" i="30" s="1"/>
  <c r="K21" i="30"/>
  <c r="K28" i="30" s="1"/>
  <c r="K29" i="30" s="1"/>
  <c r="J21" i="30"/>
  <c r="J24" i="30" s="1"/>
  <c r="I21" i="30"/>
  <c r="I28" i="30" s="1"/>
  <c r="V19" i="30"/>
  <c r="U19" i="30"/>
  <c r="T19" i="30"/>
  <c r="P19" i="30"/>
  <c r="L19" i="30"/>
  <c r="H19" i="30"/>
  <c r="S17" i="30"/>
  <c r="S15" i="30" s="1"/>
  <c r="R17" i="30"/>
  <c r="R15" i="30" s="1"/>
  <c r="R14" i="30" s="1"/>
  <c r="Q17" i="30"/>
  <c r="O17" i="30"/>
  <c r="O15" i="30" s="1"/>
  <c r="N17" i="30"/>
  <c r="N15" i="30" s="1"/>
  <c r="N14" i="30" s="1"/>
  <c r="M17" i="30"/>
  <c r="K17" i="30"/>
  <c r="J17" i="30"/>
  <c r="I17" i="30"/>
  <c r="J15" i="30"/>
  <c r="J14" i="30" s="1"/>
  <c r="V13" i="30"/>
  <c r="U13" i="30"/>
  <c r="T13" i="30"/>
  <c r="P13" i="30"/>
  <c r="L13" i="30"/>
  <c r="H13" i="30"/>
  <c r="V11" i="30"/>
  <c r="U11" i="30"/>
  <c r="T11" i="30"/>
  <c r="P11" i="30"/>
  <c r="L11" i="30"/>
  <c r="H11" i="30"/>
  <c r="V9" i="30"/>
  <c r="U9" i="30"/>
  <c r="T9" i="30"/>
  <c r="P9" i="30"/>
  <c r="L9" i="30"/>
  <c r="H9" i="30"/>
  <c r="V8" i="30"/>
  <c r="V7" i="30"/>
  <c r="U7" i="30"/>
  <c r="F18" i="30" l="1"/>
  <c r="F16" i="30"/>
  <c r="F14" i="30"/>
  <c r="F12" i="30"/>
  <c r="E18" i="30"/>
  <c r="E16" i="30"/>
  <c r="E12" i="30"/>
  <c r="E14" i="30"/>
  <c r="G16" i="30"/>
  <c r="G12" i="30"/>
  <c r="G14" i="30"/>
  <c r="G10" i="30"/>
  <c r="G31" i="30"/>
  <c r="G18" i="30"/>
  <c r="G20" i="30"/>
  <c r="F10" i="30"/>
  <c r="F20" i="30"/>
  <c r="F31" i="30"/>
  <c r="F32" i="30" s="1"/>
  <c r="E31" i="30"/>
  <c r="E32" i="30" s="1"/>
  <c r="E20" i="30"/>
  <c r="R10" i="30"/>
  <c r="T17" i="30"/>
  <c r="R12" i="30"/>
  <c r="N10" i="30"/>
  <c r="N12" i="30"/>
  <c r="P17" i="30"/>
  <c r="J10" i="30"/>
  <c r="J12" i="30"/>
  <c r="J18" i="30"/>
  <c r="S31" i="30"/>
  <c r="S20" i="30"/>
  <c r="S14" i="30"/>
  <c r="S10" i="30"/>
  <c r="S16" i="30"/>
  <c r="S12" i="30"/>
  <c r="O31" i="30"/>
  <c r="O20" i="30"/>
  <c r="O14" i="30"/>
  <c r="O10" i="30"/>
  <c r="O16" i="30"/>
  <c r="O12" i="30"/>
  <c r="I15" i="30"/>
  <c r="I18" i="30" s="1"/>
  <c r="K15" i="30"/>
  <c r="K18" i="30" s="1"/>
  <c r="M15" i="30"/>
  <c r="P18" i="30" s="1"/>
  <c r="Q15" i="30"/>
  <c r="Q18" i="30" s="1"/>
  <c r="V17" i="30" s="1"/>
  <c r="H17" i="30"/>
  <c r="L17" i="30"/>
  <c r="R18" i="30"/>
  <c r="M29" i="30"/>
  <c r="J20" i="30"/>
  <c r="J31" i="30"/>
  <c r="N20" i="30"/>
  <c r="N31" i="30"/>
  <c r="R20" i="30"/>
  <c r="R31" i="30"/>
  <c r="J16" i="30"/>
  <c r="N16" i="30"/>
  <c r="R16" i="30"/>
  <c r="O18" i="30"/>
  <c r="S18" i="30"/>
  <c r="U17" i="30"/>
  <c r="N18" i="30"/>
  <c r="I29" i="30"/>
  <c r="Q29" i="30"/>
  <c r="L21" i="30"/>
  <c r="P21" i="30"/>
  <c r="T21" i="30"/>
  <c r="J22" i="30"/>
  <c r="L22" i="30"/>
  <c r="N22" i="30"/>
  <c r="P22" i="30"/>
  <c r="R22" i="30"/>
  <c r="T22" i="30"/>
  <c r="I24" i="30"/>
  <c r="K24" i="30"/>
  <c r="M24" i="30"/>
  <c r="O24" i="30"/>
  <c r="Q24" i="30"/>
  <c r="S24" i="30"/>
  <c r="J26" i="30"/>
  <c r="L26" i="30"/>
  <c r="N26" i="30"/>
  <c r="P26" i="30"/>
  <c r="R26" i="30"/>
  <c r="T26" i="30"/>
  <c r="J28" i="30"/>
  <c r="J29" i="30" s="1"/>
  <c r="N28" i="30"/>
  <c r="N29" i="30" s="1"/>
  <c r="R28" i="30"/>
  <c r="R29" i="30" s="1"/>
  <c r="I22" i="30"/>
  <c r="K22" i="30"/>
  <c r="M22" i="30"/>
  <c r="O22" i="30"/>
  <c r="Q22" i="30"/>
  <c r="S22" i="30"/>
  <c r="L24" i="30"/>
  <c r="P24" i="30"/>
  <c r="T24" i="30"/>
  <c r="I26" i="30"/>
  <c r="K26" i="30"/>
  <c r="M26" i="30"/>
  <c r="O26" i="30"/>
  <c r="Q26" i="30"/>
  <c r="S26" i="30"/>
  <c r="R17" i="29"/>
  <c r="S17" i="29"/>
  <c r="Q17" i="29"/>
  <c r="N17" i="29"/>
  <c r="O17" i="29"/>
  <c r="G30" i="30" l="1"/>
  <c r="G32" i="30"/>
  <c r="M18" i="30"/>
  <c r="F30" i="30"/>
  <c r="P28" i="30"/>
  <c r="T18" i="30"/>
  <c r="T29" i="30"/>
  <c r="L28" i="30"/>
  <c r="T28" i="30"/>
  <c r="L29" i="30"/>
  <c r="R30" i="30"/>
  <c r="R32" i="30"/>
  <c r="N30" i="30"/>
  <c r="N32" i="30"/>
  <c r="J30" i="30"/>
  <c r="J32" i="30"/>
  <c r="P29" i="30"/>
  <c r="L18" i="30"/>
  <c r="M31" i="30"/>
  <c r="P20" i="30"/>
  <c r="M20" i="30"/>
  <c r="P16" i="30"/>
  <c r="P15" i="30"/>
  <c r="M14" i="30"/>
  <c r="P12" i="30"/>
  <c r="M10" i="30"/>
  <c r="M16" i="30"/>
  <c r="P14" i="30"/>
  <c r="M12" i="30"/>
  <c r="P10" i="30"/>
  <c r="I31" i="30"/>
  <c r="L20" i="30"/>
  <c r="I20" i="30"/>
  <c r="L16" i="30"/>
  <c r="L15" i="30"/>
  <c r="I14" i="30"/>
  <c r="L12" i="30"/>
  <c r="I10" i="30"/>
  <c r="I16" i="30"/>
  <c r="L14" i="30"/>
  <c r="I12" i="30"/>
  <c r="L10" i="30"/>
  <c r="H16" i="30"/>
  <c r="V15" i="30"/>
  <c r="H15" i="30"/>
  <c r="U15" i="30"/>
  <c r="V18" i="30" s="1"/>
  <c r="O32" i="30"/>
  <c r="O30" i="30"/>
  <c r="Q31" i="30"/>
  <c r="T20" i="30"/>
  <c r="Q20" i="30"/>
  <c r="T16" i="30"/>
  <c r="T15" i="30"/>
  <c r="Q14" i="30"/>
  <c r="T12" i="30"/>
  <c r="Q10" i="30"/>
  <c r="Q16" i="30"/>
  <c r="T14" i="30"/>
  <c r="Q12" i="30"/>
  <c r="T10" i="30"/>
  <c r="K31" i="30"/>
  <c r="K20" i="30"/>
  <c r="K14" i="30"/>
  <c r="K10" i="30"/>
  <c r="K16" i="30"/>
  <c r="K12" i="30"/>
  <c r="S32" i="30"/>
  <c r="S30" i="30"/>
  <c r="V27" i="29"/>
  <c r="T27" i="29"/>
  <c r="P27" i="29"/>
  <c r="L27" i="29"/>
  <c r="H27" i="29"/>
  <c r="V25" i="29"/>
  <c r="U25" i="29"/>
  <c r="T25" i="29"/>
  <c r="P25" i="29"/>
  <c r="L25" i="29"/>
  <c r="H25" i="29"/>
  <c r="U23" i="29"/>
  <c r="T23" i="29"/>
  <c r="P23" i="29"/>
  <c r="L23" i="29"/>
  <c r="H23" i="29"/>
  <c r="S21" i="29"/>
  <c r="S28" i="29" s="1"/>
  <c r="S29" i="29" s="1"/>
  <c r="R21" i="29"/>
  <c r="R24" i="29" s="1"/>
  <c r="Q21" i="29"/>
  <c r="Q28" i="29" s="1"/>
  <c r="O21" i="29"/>
  <c r="O28" i="29" s="1"/>
  <c r="O29" i="29" s="1"/>
  <c r="N21" i="29"/>
  <c r="N24" i="29" s="1"/>
  <c r="M21" i="29"/>
  <c r="M28" i="29" s="1"/>
  <c r="K21" i="29"/>
  <c r="K28" i="29" s="1"/>
  <c r="K29" i="29" s="1"/>
  <c r="J21" i="29"/>
  <c r="J24" i="29" s="1"/>
  <c r="I21" i="29"/>
  <c r="I28" i="29" s="1"/>
  <c r="G21" i="29"/>
  <c r="G28" i="29" s="1"/>
  <c r="G29" i="29" s="1"/>
  <c r="F21" i="29"/>
  <c r="F24" i="29" s="1"/>
  <c r="E21" i="29"/>
  <c r="E28" i="29" s="1"/>
  <c r="V19" i="29"/>
  <c r="U19" i="29"/>
  <c r="T19" i="29"/>
  <c r="P19" i="29"/>
  <c r="L19" i="29"/>
  <c r="H19" i="29"/>
  <c r="T17" i="29"/>
  <c r="M17" i="29"/>
  <c r="P17" i="29" s="1"/>
  <c r="K17" i="29"/>
  <c r="J17" i="29"/>
  <c r="I17" i="29"/>
  <c r="I15" i="29" s="1"/>
  <c r="I12" i="29" s="1"/>
  <c r="G17" i="29"/>
  <c r="G15" i="29" s="1"/>
  <c r="F17" i="29"/>
  <c r="E17" i="29"/>
  <c r="S15" i="29"/>
  <c r="S14" i="29" s="1"/>
  <c r="R15" i="29"/>
  <c r="R10" i="29" s="1"/>
  <c r="Q15" i="29"/>
  <c r="Q18" i="29" s="1"/>
  <c r="O15" i="29"/>
  <c r="O14" i="29" s="1"/>
  <c r="N15" i="29"/>
  <c r="N31" i="29" s="1"/>
  <c r="K15" i="29"/>
  <c r="K14" i="29" s="1"/>
  <c r="V13" i="29"/>
  <c r="U13" i="29"/>
  <c r="T13" i="29"/>
  <c r="P13" i="29"/>
  <c r="L13" i="29"/>
  <c r="H13" i="29"/>
  <c r="V11" i="29"/>
  <c r="U11" i="29"/>
  <c r="T11" i="29"/>
  <c r="P11" i="29"/>
  <c r="L11" i="29"/>
  <c r="H11" i="29"/>
  <c r="V9" i="29"/>
  <c r="U9" i="29"/>
  <c r="T9" i="29"/>
  <c r="P9" i="29"/>
  <c r="L9" i="29"/>
  <c r="H9" i="29"/>
  <c r="V8" i="29"/>
  <c r="T8" i="29"/>
  <c r="P8" i="29"/>
  <c r="L8" i="29"/>
  <c r="H8" i="29"/>
  <c r="V7" i="29"/>
  <c r="U7" i="29"/>
  <c r="T7" i="29"/>
  <c r="P7" i="29"/>
  <c r="L7" i="29"/>
  <c r="H7" i="29"/>
  <c r="R14" i="29" l="1"/>
  <c r="S12" i="29"/>
  <c r="M15" i="29"/>
  <c r="O10" i="29"/>
  <c r="H12" i="30"/>
  <c r="H14" i="30"/>
  <c r="H20" i="30"/>
  <c r="K32" i="30"/>
  <c r="K30" i="30"/>
  <c r="Q32" i="30"/>
  <c r="T30" i="30"/>
  <c r="T32" i="30"/>
  <c r="T31" i="30"/>
  <c r="Q30" i="30"/>
  <c r="H18" i="30"/>
  <c r="V16" i="30"/>
  <c r="V10" i="30"/>
  <c r="V14" i="30"/>
  <c r="V20" i="30"/>
  <c r="V12" i="30"/>
  <c r="H10" i="30"/>
  <c r="U31" i="30"/>
  <c r="H32" i="30"/>
  <c r="V31" i="30"/>
  <c r="H31" i="30"/>
  <c r="I32" i="30"/>
  <c r="L30" i="30"/>
  <c r="L32" i="30"/>
  <c r="L31" i="30"/>
  <c r="I30" i="30"/>
  <c r="M32" i="30"/>
  <c r="P30" i="30"/>
  <c r="P32" i="30"/>
  <c r="P31" i="30"/>
  <c r="M30" i="30"/>
  <c r="S10" i="29"/>
  <c r="T10" i="29"/>
  <c r="T14" i="29"/>
  <c r="N12" i="29"/>
  <c r="N14" i="29"/>
  <c r="N10" i="29"/>
  <c r="K10" i="29"/>
  <c r="K12" i="29"/>
  <c r="R12" i="29"/>
  <c r="Q10" i="29"/>
  <c r="Q12" i="29"/>
  <c r="O12" i="29"/>
  <c r="P20" i="29"/>
  <c r="V17" i="29"/>
  <c r="L17" i="29"/>
  <c r="P14" i="29"/>
  <c r="I10" i="29"/>
  <c r="M10" i="29"/>
  <c r="E15" i="29"/>
  <c r="E14" i="29" s="1"/>
  <c r="P10" i="29"/>
  <c r="M12" i="29"/>
  <c r="G14" i="29"/>
  <c r="G12" i="29"/>
  <c r="G10" i="29"/>
  <c r="U17" i="29"/>
  <c r="P12" i="29"/>
  <c r="T12" i="29"/>
  <c r="I14" i="29"/>
  <c r="M14" i="29"/>
  <c r="Q14" i="29"/>
  <c r="F15" i="29"/>
  <c r="J15" i="29"/>
  <c r="L15" i="29" s="1"/>
  <c r="N32" i="29"/>
  <c r="P15" i="29"/>
  <c r="R31" i="29"/>
  <c r="R18" i="29"/>
  <c r="T15" i="29"/>
  <c r="N16" i="29"/>
  <c r="P16" i="29"/>
  <c r="R16" i="29"/>
  <c r="T16" i="29"/>
  <c r="P18" i="29"/>
  <c r="N18" i="29"/>
  <c r="E29" i="29"/>
  <c r="M29" i="29"/>
  <c r="G31" i="29"/>
  <c r="G20" i="29"/>
  <c r="I31" i="29"/>
  <c r="I20" i="29"/>
  <c r="K31" i="29"/>
  <c r="K20" i="29"/>
  <c r="M31" i="29"/>
  <c r="M20" i="29"/>
  <c r="O31" i="29"/>
  <c r="O20" i="29"/>
  <c r="Q31" i="29"/>
  <c r="T20" i="29"/>
  <c r="Q20" i="29"/>
  <c r="T18" i="29"/>
  <c r="S31" i="29"/>
  <c r="S20" i="29"/>
  <c r="G16" i="29"/>
  <c r="I16" i="29"/>
  <c r="K16" i="29"/>
  <c r="M16" i="29"/>
  <c r="O16" i="29"/>
  <c r="Q16" i="29"/>
  <c r="S16" i="29"/>
  <c r="H17" i="29"/>
  <c r="G18" i="29"/>
  <c r="I18" i="29"/>
  <c r="K18" i="29"/>
  <c r="M18" i="29"/>
  <c r="O18" i="29"/>
  <c r="S18" i="29"/>
  <c r="N20" i="29"/>
  <c r="R20" i="29"/>
  <c r="I29" i="29"/>
  <c r="Q29" i="29"/>
  <c r="H21" i="29"/>
  <c r="L21" i="29"/>
  <c r="P21" i="29"/>
  <c r="T21" i="29"/>
  <c r="V21" i="29"/>
  <c r="F22" i="29"/>
  <c r="H22" i="29"/>
  <c r="J22" i="29"/>
  <c r="L22" i="29"/>
  <c r="N22" i="29"/>
  <c r="P22" i="29"/>
  <c r="R22" i="29"/>
  <c r="T22" i="29"/>
  <c r="E24" i="29"/>
  <c r="G24" i="29"/>
  <c r="I24" i="29"/>
  <c r="K24" i="29"/>
  <c r="M24" i="29"/>
  <c r="O24" i="29"/>
  <c r="Q24" i="29"/>
  <c r="S24" i="29"/>
  <c r="F26" i="29"/>
  <c r="H26" i="29"/>
  <c r="J26" i="29"/>
  <c r="L26" i="29"/>
  <c r="N26" i="29"/>
  <c r="P26" i="29"/>
  <c r="R26" i="29"/>
  <c r="T26" i="29"/>
  <c r="F28" i="29"/>
  <c r="F29" i="29" s="1"/>
  <c r="J28" i="29"/>
  <c r="J29" i="29" s="1"/>
  <c r="N28" i="29"/>
  <c r="N29" i="29" s="1"/>
  <c r="R28" i="29"/>
  <c r="R29" i="29" s="1"/>
  <c r="U21" i="29"/>
  <c r="V22" i="29" s="1"/>
  <c r="E22" i="29"/>
  <c r="G22" i="29"/>
  <c r="I22" i="29"/>
  <c r="K22" i="29"/>
  <c r="M22" i="29"/>
  <c r="O22" i="29"/>
  <c r="Q22" i="29"/>
  <c r="S22" i="29"/>
  <c r="H24" i="29"/>
  <c r="L24" i="29"/>
  <c r="P24" i="29"/>
  <c r="T24" i="29"/>
  <c r="E26" i="29"/>
  <c r="G26" i="29"/>
  <c r="I26" i="29"/>
  <c r="K26" i="29"/>
  <c r="M26" i="29"/>
  <c r="O26" i="29"/>
  <c r="Q26" i="29"/>
  <c r="S26" i="29"/>
  <c r="V32" i="30" l="1"/>
  <c r="E18" i="29"/>
  <c r="V23" i="29"/>
  <c r="T28" i="29"/>
  <c r="L29" i="29"/>
  <c r="E20" i="29"/>
  <c r="E16" i="29"/>
  <c r="E31" i="29"/>
  <c r="E30" i="29" s="1"/>
  <c r="J18" i="29"/>
  <c r="H16" i="29"/>
  <c r="E12" i="29"/>
  <c r="E10" i="29"/>
  <c r="V15" i="29"/>
  <c r="V26" i="29"/>
  <c r="T29" i="29"/>
  <c r="L28" i="29"/>
  <c r="U15" i="29"/>
  <c r="S32" i="29"/>
  <c r="S30" i="29"/>
  <c r="Q32" i="29"/>
  <c r="T30" i="29"/>
  <c r="T32" i="29"/>
  <c r="T31" i="29"/>
  <c r="Q30" i="29"/>
  <c r="O32" i="29"/>
  <c r="O30" i="29"/>
  <c r="M32" i="29"/>
  <c r="P30" i="29"/>
  <c r="P32" i="29"/>
  <c r="P31" i="29"/>
  <c r="M30" i="29"/>
  <c r="K32" i="29"/>
  <c r="K30" i="29"/>
  <c r="I32" i="29"/>
  <c r="I30" i="29"/>
  <c r="G32" i="29"/>
  <c r="G30" i="29"/>
  <c r="P28" i="29"/>
  <c r="V28" i="29"/>
  <c r="U28" i="29"/>
  <c r="V29" i="29" s="1"/>
  <c r="F18" i="29"/>
  <c r="H18" i="29" s="1"/>
  <c r="L16" i="29"/>
  <c r="R30" i="29"/>
  <c r="R32" i="29"/>
  <c r="H15" i="29"/>
  <c r="V24" i="29"/>
  <c r="P29" i="29"/>
  <c r="H28" i="29"/>
  <c r="H29" i="29"/>
  <c r="N30" i="29"/>
  <c r="J31" i="29"/>
  <c r="L31" i="29" s="1"/>
  <c r="J20" i="29"/>
  <c r="L14" i="29"/>
  <c r="J14" i="29"/>
  <c r="L10" i="29"/>
  <c r="J16" i="29"/>
  <c r="L12" i="29"/>
  <c r="J12" i="29"/>
  <c r="J10" i="29"/>
  <c r="F31" i="29"/>
  <c r="F20" i="29"/>
  <c r="F14" i="29"/>
  <c r="H14" i="29" s="1"/>
  <c r="F10" i="29"/>
  <c r="F16" i="29"/>
  <c r="F12" i="29"/>
  <c r="L18" i="29"/>
  <c r="L20" i="29"/>
  <c r="R22" i="28"/>
  <c r="S21" i="28"/>
  <c r="S26" i="28" s="1"/>
  <c r="R21" i="28"/>
  <c r="R24" i="28" s="1"/>
  <c r="Q21" i="28"/>
  <c r="Q28" i="28" s="1"/>
  <c r="Q29" i="28" s="1"/>
  <c r="S15" i="28"/>
  <c r="S18" i="28" s="1"/>
  <c r="R15" i="28"/>
  <c r="R18" i="28" s="1"/>
  <c r="Q15" i="28"/>
  <c r="Q18" i="28" s="1"/>
  <c r="S14" i="28"/>
  <c r="S12" i="28"/>
  <c r="T8" i="28"/>
  <c r="T7" i="28"/>
  <c r="Q31" i="28" l="1"/>
  <c r="Q30" i="28" s="1"/>
  <c r="S31" i="28"/>
  <c r="S32" i="28" s="1"/>
  <c r="S16" i="28"/>
  <c r="R20" i="28"/>
  <c r="S10" i="28"/>
  <c r="Q14" i="28"/>
  <c r="E32" i="29"/>
  <c r="Q24" i="28"/>
  <c r="Q10" i="28"/>
  <c r="Q16" i="28"/>
  <c r="R26" i="28"/>
  <c r="S28" i="28"/>
  <c r="S29" i="28" s="1"/>
  <c r="S24" i="28"/>
  <c r="Q32" i="28"/>
  <c r="R10" i="28"/>
  <c r="Q20" i="28"/>
  <c r="S22" i="28"/>
  <c r="Q26" i="28"/>
  <c r="R28" i="28"/>
  <c r="R29" i="28" s="1"/>
  <c r="R12" i="28"/>
  <c r="R16" i="28"/>
  <c r="S20" i="28"/>
  <c r="Q22" i="28"/>
  <c r="R31" i="28"/>
  <c r="T32" i="28" s="1"/>
  <c r="H12" i="29"/>
  <c r="H10" i="29"/>
  <c r="H20" i="29"/>
  <c r="L30" i="29"/>
  <c r="F30" i="29"/>
  <c r="F32" i="29"/>
  <c r="H30" i="29"/>
  <c r="J30" i="29"/>
  <c r="J32" i="29"/>
  <c r="H31" i="29"/>
  <c r="H32" i="29"/>
  <c r="U31" i="29"/>
  <c r="L32" i="29"/>
  <c r="V31" i="29"/>
  <c r="V16" i="29"/>
  <c r="V10" i="29"/>
  <c r="V14" i="29"/>
  <c r="V20" i="29"/>
  <c r="V18" i="29"/>
  <c r="V12" i="29"/>
  <c r="R14" i="28"/>
  <c r="Q12" i="28"/>
  <c r="T31" i="28"/>
  <c r="T27" i="28"/>
  <c r="T26" i="28"/>
  <c r="T25" i="28"/>
  <c r="T24" i="28"/>
  <c r="T23" i="28"/>
  <c r="T22" i="28"/>
  <c r="T21" i="28"/>
  <c r="T20" i="28"/>
  <c r="T19" i="28"/>
  <c r="T18" i="28"/>
  <c r="T17" i="28"/>
  <c r="T16" i="28"/>
  <c r="T15" i="28"/>
  <c r="T14" i="28"/>
  <c r="T13" i="28"/>
  <c r="T12" i="28"/>
  <c r="T11" i="28"/>
  <c r="T10" i="28"/>
  <c r="T9" i="28"/>
  <c r="S30" i="28" l="1"/>
  <c r="T28" i="28"/>
  <c r="T29" i="28"/>
  <c r="T30" i="28"/>
  <c r="R30" i="28"/>
  <c r="R32" i="28"/>
  <c r="V32" i="29"/>
  <c r="V30" i="29"/>
  <c r="V30" i="23"/>
  <c r="T30" i="23"/>
  <c r="R30" i="23"/>
  <c r="S30" i="23"/>
  <c r="Q30" i="23"/>
  <c r="P30" i="23"/>
  <c r="N30" i="23"/>
  <c r="O30" i="23"/>
  <c r="M30" i="23"/>
  <c r="L30" i="23"/>
  <c r="J30" i="23"/>
  <c r="K30" i="23"/>
  <c r="I30" i="23"/>
  <c r="H30" i="23"/>
  <c r="F30" i="23"/>
  <c r="G30" i="23"/>
  <c r="E30" i="23"/>
  <c r="P13" i="28" l="1"/>
  <c r="P11" i="28"/>
  <c r="P9" i="28"/>
  <c r="P19" i="28"/>
  <c r="N15" i="28"/>
  <c r="N14" i="28" s="1"/>
  <c r="O15" i="28"/>
  <c r="P27" i="28"/>
  <c r="M21" i="28"/>
  <c r="M22" i="28" s="1"/>
  <c r="N21" i="28"/>
  <c r="N28" i="28" s="1"/>
  <c r="N29" i="28" s="1"/>
  <c r="O21" i="28"/>
  <c r="O22" i="28" s="1"/>
  <c r="P25" i="28"/>
  <c r="P23" i="28"/>
  <c r="N22" i="28" l="1"/>
  <c r="N18" i="28"/>
  <c r="P24" i="28"/>
  <c r="P26" i="28"/>
  <c r="M26" i="28"/>
  <c r="N20" i="28"/>
  <c r="M28" i="28"/>
  <c r="O24" i="28"/>
  <c r="P21" i="28"/>
  <c r="O26" i="28"/>
  <c r="O28" i="28"/>
  <c r="O29" i="28" s="1"/>
  <c r="N24" i="28"/>
  <c r="P22" i="28"/>
  <c r="N26" i="28"/>
  <c r="N16" i="28"/>
  <c r="O31" i="28"/>
  <c r="O16" i="28"/>
  <c r="O14" i="28"/>
  <c r="O18" i="28"/>
  <c r="O20" i="28"/>
  <c r="N31" i="28"/>
  <c r="M24" i="28"/>
  <c r="P28" i="28" l="1"/>
  <c r="M29" i="28"/>
  <c r="P29" i="28"/>
  <c r="O32" i="28"/>
  <c r="O30" i="28"/>
  <c r="N32" i="28"/>
  <c r="N30" i="28"/>
  <c r="N12" i="28"/>
  <c r="O12" i="28"/>
  <c r="M17" i="28"/>
  <c r="O10" i="28"/>
  <c r="N10" i="28"/>
  <c r="P8" i="28"/>
  <c r="P7" i="28"/>
  <c r="P17" i="28" l="1"/>
  <c r="K17" i="28"/>
  <c r="J17" i="28"/>
  <c r="I17" i="28"/>
  <c r="V27" i="28" l="1"/>
  <c r="L27" i="28"/>
  <c r="H27" i="28"/>
  <c r="V25" i="28"/>
  <c r="U25" i="28"/>
  <c r="L25" i="28"/>
  <c r="H25" i="28"/>
  <c r="H23" i="28"/>
  <c r="G21" i="28"/>
  <c r="G28" i="28" s="1"/>
  <c r="G29" i="28" s="1"/>
  <c r="F21" i="28"/>
  <c r="F24" i="28" s="1"/>
  <c r="E21" i="28"/>
  <c r="E28" i="28" s="1"/>
  <c r="L19" i="28"/>
  <c r="H19" i="28"/>
  <c r="L17" i="28"/>
  <c r="G17" i="28"/>
  <c r="G15" i="28" s="1"/>
  <c r="G10" i="28" s="1"/>
  <c r="F17" i="28"/>
  <c r="E17" i="28"/>
  <c r="E15" i="28" s="1"/>
  <c r="K15" i="28"/>
  <c r="K31" i="28" s="1"/>
  <c r="J15" i="28"/>
  <c r="J14" i="28" s="1"/>
  <c r="I15" i="28"/>
  <c r="V13" i="28"/>
  <c r="U13" i="28"/>
  <c r="L13" i="28"/>
  <c r="H13" i="28"/>
  <c r="V11" i="28"/>
  <c r="U11" i="28"/>
  <c r="L11" i="28"/>
  <c r="H11" i="28"/>
  <c r="V9" i="28"/>
  <c r="U9" i="28"/>
  <c r="L9" i="28"/>
  <c r="H9" i="28"/>
  <c r="V8" i="28"/>
  <c r="L8" i="28"/>
  <c r="H8" i="28"/>
  <c r="V7" i="28"/>
  <c r="U7" i="28"/>
  <c r="L7" i="28"/>
  <c r="H7" i="28"/>
  <c r="J10" i="28" l="1"/>
  <c r="J12" i="28"/>
  <c r="G12" i="28"/>
  <c r="L18" i="28"/>
  <c r="E12" i="28"/>
  <c r="G31" i="28"/>
  <c r="G32" i="28" s="1"/>
  <c r="U17" i="28"/>
  <c r="L10" i="28"/>
  <c r="I10" i="28"/>
  <c r="K10" i="28"/>
  <c r="I12" i="28"/>
  <c r="K12" i="28"/>
  <c r="L14" i="28"/>
  <c r="E10" i="28"/>
  <c r="L12" i="28"/>
  <c r="E14" i="28"/>
  <c r="G14" i="28"/>
  <c r="I14" i="28"/>
  <c r="K14" i="28"/>
  <c r="F15" i="28"/>
  <c r="J20" i="28"/>
  <c r="J31" i="28"/>
  <c r="L15" i="28"/>
  <c r="J16" i="28"/>
  <c r="L16" i="28"/>
  <c r="J18" i="28"/>
  <c r="G20" i="28"/>
  <c r="K20" i="28"/>
  <c r="E29" i="28"/>
  <c r="E31" i="28"/>
  <c r="G30" i="28"/>
  <c r="I31" i="28"/>
  <c r="L20" i="28"/>
  <c r="K32" i="28"/>
  <c r="V17" i="28"/>
  <c r="E16" i="28"/>
  <c r="G16" i="28"/>
  <c r="I16" i="28"/>
  <c r="K16" i="28"/>
  <c r="H17" i="28"/>
  <c r="E18" i="28"/>
  <c r="G18" i="28"/>
  <c r="I18" i="28"/>
  <c r="K18" i="28"/>
  <c r="E20" i="28"/>
  <c r="I20" i="28"/>
  <c r="H21" i="28"/>
  <c r="F22" i="28"/>
  <c r="H22" i="28"/>
  <c r="E24" i="28"/>
  <c r="G24" i="28"/>
  <c r="F26" i="28"/>
  <c r="H26" i="28"/>
  <c r="F28" i="28"/>
  <c r="F29" i="28" s="1"/>
  <c r="E22" i="28"/>
  <c r="G22" i="28"/>
  <c r="H24" i="28"/>
  <c r="E26" i="28"/>
  <c r="G26" i="28"/>
  <c r="F10" i="25"/>
  <c r="G10" i="25"/>
  <c r="E14" i="25"/>
  <c r="E12" i="25"/>
  <c r="E10" i="25"/>
  <c r="E20" i="25"/>
  <c r="F39" i="17"/>
  <c r="G39" i="17"/>
  <c r="E39" i="17"/>
  <c r="F39" i="18"/>
  <c r="G39" i="18"/>
  <c r="E39" i="18"/>
  <c r="F39" i="1"/>
  <c r="H39" i="1" s="1"/>
  <c r="G39" i="1"/>
  <c r="E39" i="1"/>
  <c r="T27" i="26"/>
  <c r="T19" i="26"/>
  <c r="T17" i="26"/>
  <c r="T25" i="26"/>
  <c r="S21" i="26"/>
  <c r="R21" i="26"/>
  <c r="R24" i="26" s="1"/>
  <c r="Q21" i="26"/>
  <c r="T23" i="26"/>
  <c r="Q28" i="26"/>
  <c r="Q29" i="26" s="1"/>
  <c r="Q26" i="26"/>
  <c r="Q24" i="26"/>
  <c r="Q22" i="26"/>
  <c r="S16" i="26"/>
  <c r="R16" i="26"/>
  <c r="Q16" i="26"/>
  <c r="T13" i="26"/>
  <c r="T11" i="26"/>
  <c r="T9" i="26"/>
  <c r="T8" i="26"/>
  <c r="T7" i="26"/>
  <c r="P27" i="26"/>
  <c r="P25" i="26"/>
  <c r="P23" i="26"/>
  <c r="P19" i="26"/>
  <c r="P17" i="26"/>
  <c r="P13" i="26"/>
  <c r="P11" i="26"/>
  <c r="P9" i="26"/>
  <c r="P8" i="26"/>
  <c r="P7" i="26"/>
  <c r="N21" i="26"/>
  <c r="N28" i="26" s="1"/>
  <c r="N29" i="26" s="1"/>
  <c r="O21" i="26"/>
  <c r="O24" i="26" s="1"/>
  <c r="O28" i="26"/>
  <c r="O22" i="26"/>
  <c r="M21" i="26"/>
  <c r="M24" i="26" s="1"/>
  <c r="N16" i="26"/>
  <c r="O16" i="26"/>
  <c r="M16" i="26"/>
  <c r="N15" i="26"/>
  <c r="N31" i="26" s="1"/>
  <c r="N30" i="26" s="1"/>
  <c r="O15" i="26"/>
  <c r="O10" i="26" s="1"/>
  <c r="M15" i="26"/>
  <c r="M18" i="26" s="1"/>
  <c r="V27" i="26"/>
  <c r="V25" i="26"/>
  <c r="U25" i="26"/>
  <c r="U23" i="26"/>
  <c r="V13" i="26"/>
  <c r="V11" i="26"/>
  <c r="U11" i="26"/>
  <c r="U13" i="26"/>
  <c r="V9" i="26"/>
  <c r="U9" i="26"/>
  <c r="V8" i="26"/>
  <c r="V7" i="26"/>
  <c r="U7" i="26"/>
  <c r="K15" i="26"/>
  <c r="K14" i="26" s="1"/>
  <c r="J15" i="26"/>
  <c r="J21" i="26"/>
  <c r="K21" i="26"/>
  <c r="L21" i="26" s="1"/>
  <c r="K28" i="26"/>
  <c r="K29" i="26" s="1"/>
  <c r="I21" i="26"/>
  <c r="I24" i="26"/>
  <c r="I15" i="26"/>
  <c r="I20" i="26"/>
  <c r="P30" i="25"/>
  <c r="N30" i="25"/>
  <c r="O30" i="25"/>
  <c r="M30" i="25"/>
  <c r="H27" i="26"/>
  <c r="H25" i="26"/>
  <c r="H23" i="26"/>
  <c r="G21" i="26"/>
  <c r="G22" i="26" s="1"/>
  <c r="F21" i="26"/>
  <c r="F24" i="26" s="1"/>
  <c r="E21" i="26"/>
  <c r="E28" i="26" s="1"/>
  <c r="E29" i="26" s="1"/>
  <c r="H19" i="26"/>
  <c r="G17" i="26"/>
  <c r="F17" i="26"/>
  <c r="E17" i="26"/>
  <c r="H17" i="26" s="1"/>
  <c r="F15" i="26"/>
  <c r="F10" i="26" s="1"/>
  <c r="H13" i="26"/>
  <c r="H11" i="26"/>
  <c r="H9" i="26"/>
  <c r="H8" i="26"/>
  <c r="H7" i="26"/>
  <c r="R28" i="25"/>
  <c r="R29" i="25" s="1"/>
  <c r="S28" i="25"/>
  <c r="U28" i="25" s="1"/>
  <c r="Q28" i="25"/>
  <c r="V27" i="25"/>
  <c r="T27" i="25"/>
  <c r="U25" i="25"/>
  <c r="V25" i="25" s="1"/>
  <c r="T25" i="25"/>
  <c r="U23" i="25"/>
  <c r="V23" i="25" s="1"/>
  <c r="T23" i="25"/>
  <c r="S21" i="25"/>
  <c r="S26" i="25" s="1"/>
  <c r="R21" i="25"/>
  <c r="R26" i="25" s="1"/>
  <c r="Q21" i="25"/>
  <c r="Q26" i="25" s="1"/>
  <c r="V19" i="25"/>
  <c r="U19" i="25"/>
  <c r="T19" i="25"/>
  <c r="S17" i="25"/>
  <c r="R17" i="25"/>
  <c r="Q17" i="25"/>
  <c r="Q15" i="25" s="1"/>
  <c r="S15" i="25"/>
  <c r="V13" i="25"/>
  <c r="U13" i="25"/>
  <c r="T13" i="25"/>
  <c r="R12" i="25"/>
  <c r="Q12" i="25"/>
  <c r="V11" i="25"/>
  <c r="U11" i="25"/>
  <c r="T11" i="25"/>
  <c r="V9" i="25"/>
  <c r="U9" i="25"/>
  <c r="T9" i="25"/>
  <c r="V8" i="25"/>
  <c r="T8" i="25"/>
  <c r="V7" i="25"/>
  <c r="U7" i="25"/>
  <c r="T7" i="25"/>
  <c r="L27" i="26"/>
  <c r="L25" i="26"/>
  <c r="L23" i="26"/>
  <c r="L19" i="26"/>
  <c r="L13" i="26"/>
  <c r="L11" i="26"/>
  <c r="L9" i="26"/>
  <c r="L8" i="26"/>
  <c r="L7" i="26"/>
  <c r="L30" i="25"/>
  <c r="J30" i="25"/>
  <c r="K30" i="25"/>
  <c r="I30" i="25"/>
  <c r="L27" i="25"/>
  <c r="I21" i="25"/>
  <c r="J21" i="25"/>
  <c r="J24" i="25" s="1"/>
  <c r="K21" i="25"/>
  <c r="V21" i="25" s="1"/>
  <c r="J26" i="25"/>
  <c r="L25" i="25"/>
  <c r="L23" i="25"/>
  <c r="I17" i="25"/>
  <c r="I15" i="25"/>
  <c r="I18" i="25" s="1"/>
  <c r="J17" i="25"/>
  <c r="J15" i="25" s="1"/>
  <c r="K17" i="25"/>
  <c r="K15" i="25" s="1"/>
  <c r="L10" i="25" s="1"/>
  <c r="K14" i="25"/>
  <c r="I20" i="25"/>
  <c r="L19" i="25"/>
  <c r="L13" i="25"/>
  <c r="L11" i="25"/>
  <c r="L9" i="25"/>
  <c r="L8" i="25"/>
  <c r="L7" i="25"/>
  <c r="L30" i="24"/>
  <c r="M30" i="24"/>
  <c r="N30" i="24"/>
  <c r="O30" i="24"/>
  <c r="P30" i="24"/>
  <c r="Q30" i="24"/>
  <c r="R30" i="24"/>
  <c r="S30" i="24"/>
  <c r="T30" i="24"/>
  <c r="J30" i="24"/>
  <c r="K30" i="24"/>
  <c r="I30" i="24"/>
  <c r="U31" i="24"/>
  <c r="V31" i="24" s="1"/>
  <c r="U28" i="24"/>
  <c r="U29" i="24" s="1"/>
  <c r="U25" i="24"/>
  <c r="U23" i="24"/>
  <c r="V23" i="24" s="1"/>
  <c r="U21" i="24"/>
  <c r="U26" i="24" s="1"/>
  <c r="U19" i="24"/>
  <c r="V19" i="24" s="1"/>
  <c r="U17" i="24"/>
  <c r="V17" i="24" s="1"/>
  <c r="U15" i="24"/>
  <c r="V15" i="24"/>
  <c r="U13" i="24"/>
  <c r="U11" i="24"/>
  <c r="V11" i="24" s="1"/>
  <c r="U9" i="24"/>
  <c r="P22" i="24"/>
  <c r="H30" i="24"/>
  <c r="F30" i="24"/>
  <c r="G30" i="24"/>
  <c r="E30" i="24"/>
  <c r="V8" i="24"/>
  <c r="U7" i="24"/>
  <c r="V7" i="24" s="1"/>
  <c r="P22" i="23"/>
  <c r="V8" i="23"/>
  <c r="U7" i="23"/>
  <c r="V7" i="23" s="1"/>
  <c r="E21" i="23"/>
  <c r="E22" i="23" s="1"/>
  <c r="F21" i="23"/>
  <c r="F24" i="23" s="1"/>
  <c r="G21" i="23"/>
  <c r="G22" i="23" s="1"/>
  <c r="F26" i="23"/>
  <c r="H25" i="23"/>
  <c r="G24" i="23"/>
  <c r="H23" i="23"/>
  <c r="F22" i="23"/>
  <c r="E17" i="23"/>
  <c r="E15" i="23" s="1"/>
  <c r="F17" i="23"/>
  <c r="F15" i="23" s="1"/>
  <c r="G17" i="23"/>
  <c r="G15" i="23" s="1"/>
  <c r="H19" i="23"/>
  <c r="H13" i="23"/>
  <c r="H11" i="23"/>
  <c r="H9" i="23"/>
  <c r="H8" i="23"/>
  <c r="H7" i="23"/>
  <c r="T26" i="22"/>
  <c r="S26" i="22"/>
  <c r="R26" i="22"/>
  <c r="Q26" i="22"/>
  <c r="T24" i="22"/>
  <c r="S24" i="22"/>
  <c r="T20" i="22"/>
  <c r="S20" i="22"/>
  <c r="R20" i="22"/>
  <c r="Q20" i="22"/>
  <c r="T18" i="22"/>
  <c r="S18" i="22"/>
  <c r="R18" i="22"/>
  <c r="Q18" i="22"/>
  <c r="I21" i="22"/>
  <c r="I22" i="22" s="1"/>
  <c r="J21" i="22"/>
  <c r="J26" i="22" s="1"/>
  <c r="K21" i="22"/>
  <c r="K24" i="22" s="1"/>
  <c r="L25" i="22"/>
  <c r="L23" i="22"/>
  <c r="J22" i="22"/>
  <c r="I15" i="22"/>
  <c r="J15" i="22"/>
  <c r="J18" i="22" s="1"/>
  <c r="K15" i="22"/>
  <c r="K20" i="22" s="1"/>
  <c r="L19" i="22"/>
  <c r="L17" i="22"/>
  <c r="J16" i="22"/>
  <c r="I16" i="22"/>
  <c r="L13" i="22"/>
  <c r="L11" i="22"/>
  <c r="K10" i="22"/>
  <c r="L9" i="22"/>
  <c r="L8" i="22"/>
  <c r="L7" i="22"/>
  <c r="E21" i="22"/>
  <c r="E26" i="22" s="1"/>
  <c r="F21" i="22"/>
  <c r="F24" i="22" s="1"/>
  <c r="G21" i="22"/>
  <c r="G24" i="22" s="1"/>
  <c r="G26" i="22"/>
  <c r="H25" i="22"/>
  <c r="H23" i="22"/>
  <c r="E22" i="22"/>
  <c r="H21" i="22"/>
  <c r="E17" i="22"/>
  <c r="F17" i="22"/>
  <c r="F15" i="22" s="1"/>
  <c r="G17" i="22"/>
  <c r="G15" i="22" s="1"/>
  <c r="H19" i="22"/>
  <c r="H13" i="22"/>
  <c r="H11" i="22"/>
  <c r="H9" i="22"/>
  <c r="H8" i="22"/>
  <c r="H7" i="22"/>
  <c r="V8" i="22"/>
  <c r="U7" i="22"/>
  <c r="V7" i="22" s="1"/>
  <c r="V9" i="21"/>
  <c r="U8" i="21"/>
  <c r="V8" i="21" s="1"/>
  <c r="P23" i="21"/>
  <c r="R31" i="20"/>
  <c r="S31" i="20"/>
  <c r="Q31" i="20"/>
  <c r="P31" i="20"/>
  <c r="O31" i="20"/>
  <c r="N31" i="20"/>
  <c r="H9" i="20"/>
  <c r="H8" i="20"/>
  <c r="K33" i="19"/>
  <c r="J33" i="19"/>
  <c r="I33" i="19"/>
  <c r="G33" i="19"/>
  <c r="F33" i="19"/>
  <c r="E33" i="19"/>
  <c r="V32" i="19"/>
  <c r="U29" i="19"/>
  <c r="U22" i="19"/>
  <c r="V22" i="19" s="1"/>
  <c r="U8" i="19"/>
  <c r="V28" i="19"/>
  <c r="U26" i="19"/>
  <c r="V26" i="19" s="1"/>
  <c r="U24" i="19"/>
  <c r="U20" i="19"/>
  <c r="V21" i="19" s="1"/>
  <c r="U16" i="19"/>
  <c r="U18" i="19"/>
  <c r="V18" i="19"/>
  <c r="U14" i="19"/>
  <c r="V14" i="19" s="1"/>
  <c r="U12" i="19"/>
  <c r="U10" i="19"/>
  <c r="V11" i="19" s="1"/>
  <c r="V9" i="19"/>
  <c r="V8" i="19"/>
  <c r="U41" i="17"/>
  <c r="U16" i="17"/>
  <c r="V16" i="17" s="1"/>
  <c r="U37" i="17"/>
  <c r="V37" i="17" s="1"/>
  <c r="V39" i="17" s="1"/>
  <c r="L41" i="17"/>
  <c r="L16" i="17"/>
  <c r="J43" i="17"/>
  <c r="K43" i="17"/>
  <c r="I43" i="17"/>
  <c r="H41" i="17"/>
  <c r="H16" i="17"/>
  <c r="H43" i="17" s="1"/>
  <c r="U41" i="16"/>
  <c r="V41" i="16" s="1"/>
  <c r="T43" i="16"/>
  <c r="P43" i="16"/>
  <c r="L43" i="16"/>
  <c r="H43" i="16"/>
  <c r="U24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T41" i="16"/>
  <c r="P41" i="16"/>
  <c r="L41" i="16"/>
  <c r="H41" i="16"/>
  <c r="V40" i="16"/>
  <c r="T40" i="16"/>
  <c r="P40" i="16"/>
  <c r="L40" i="16"/>
  <c r="H40" i="16"/>
  <c r="U37" i="16"/>
  <c r="V39" i="16" s="1"/>
  <c r="T39" i="16"/>
  <c r="P39" i="16"/>
  <c r="L39" i="16"/>
  <c r="H39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T37" i="16"/>
  <c r="P37" i="16"/>
  <c r="L37" i="16"/>
  <c r="H37" i="16"/>
  <c r="E36" i="16"/>
  <c r="F36" i="16"/>
  <c r="G36" i="16"/>
  <c r="T36" i="16"/>
  <c r="P36" i="16"/>
  <c r="L36" i="16"/>
  <c r="U41" i="14"/>
  <c r="V43" i="14" s="1"/>
  <c r="T43" i="14"/>
  <c r="P43" i="14"/>
  <c r="L43" i="14"/>
  <c r="H43" i="14"/>
  <c r="U24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T41" i="14"/>
  <c r="P41" i="14"/>
  <c r="L41" i="14"/>
  <c r="H41" i="14"/>
  <c r="V40" i="14"/>
  <c r="T40" i="14"/>
  <c r="P40" i="14"/>
  <c r="L40" i="14"/>
  <c r="H40" i="14"/>
  <c r="U37" i="14"/>
  <c r="T39" i="14"/>
  <c r="P39" i="14"/>
  <c r="L39" i="14"/>
  <c r="H39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T37" i="14"/>
  <c r="P37" i="14"/>
  <c r="L37" i="14"/>
  <c r="H37" i="14"/>
  <c r="E36" i="14"/>
  <c r="F36" i="14"/>
  <c r="H36" i="14" s="1"/>
  <c r="G36" i="14"/>
  <c r="M36" i="14"/>
  <c r="N36" i="14"/>
  <c r="O36" i="14"/>
  <c r="T36" i="14"/>
  <c r="L36" i="14"/>
  <c r="U41" i="15"/>
  <c r="V43" i="15" s="1"/>
  <c r="T43" i="15"/>
  <c r="P43" i="15"/>
  <c r="L43" i="15"/>
  <c r="H43" i="15"/>
  <c r="U24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T41" i="15"/>
  <c r="P41" i="15"/>
  <c r="L41" i="15"/>
  <c r="H41" i="15"/>
  <c r="E40" i="15"/>
  <c r="F40" i="15"/>
  <c r="G40" i="15"/>
  <c r="T40" i="15"/>
  <c r="P40" i="15"/>
  <c r="L40" i="15"/>
  <c r="U37" i="15"/>
  <c r="V39" i="15" s="1"/>
  <c r="T39" i="15"/>
  <c r="P39" i="15"/>
  <c r="I30" i="15"/>
  <c r="I39" i="15" s="1"/>
  <c r="L39" i="15" s="1"/>
  <c r="J30" i="15"/>
  <c r="J39" i="15" s="1"/>
  <c r="K30" i="15"/>
  <c r="K39" i="15" s="1"/>
  <c r="E30" i="15"/>
  <c r="E39" i="15"/>
  <c r="F30" i="15"/>
  <c r="F39" i="15" s="1"/>
  <c r="G30" i="15"/>
  <c r="G39" i="15" s="1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T37" i="15"/>
  <c r="P37" i="15"/>
  <c r="L37" i="15"/>
  <c r="H37" i="15"/>
  <c r="V36" i="15"/>
  <c r="T36" i="15"/>
  <c r="P36" i="15"/>
  <c r="L36" i="15"/>
  <c r="H36" i="15"/>
  <c r="U41" i="1"/>
  <c r="V43" i="1" s="1"/>
  <c r="T43" i="1"/>
  <c r="P43" i="1"/>
  <c r="L43" i="1"/>
  <c r="H43" i="1"/>
  <c r="U24" i="1"/>
  <c r="V24" i="1" s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T41" i="1"/>
  <c r="P41" i="1"/>
  <c r="L41" i="1"/>
  <c r="H41" i="1"/>
  <c r="E40" i="1"/>
  <c r="F40" i="1"/>
  <c r="G40" i="1"/>
  <c r="T40" i="1"/>
  <c r="P40" i="1"/>
  <c r="L40" i="1"/>
  <c r="U37" i="1"/>
  <c r="V39" i="1" s="1"/>
  <c r="T39" i="1"/>
  <c r="P39" i="1"/>
  <c r="L39" i="1"/>
  <c r="E30" i="1"/>
  <c r="F30" i="1"/>
  <c r="G30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V37" i="1"/>
  <c r="T37" i="1"/>
  <c r="P37" i="1"/>
  <c r="L37" i="1"/>
  <c r="H37" i="1"/>
  <c r="V36" i="1"/>
  <c r="T36" i="1"/>
  <c r="P36" i="1"/>
  <c r="L36" i="1"/>
  <c r="H36" i="1"/>
  <c r="U41" i="18"/>
  <c r="V43" i="18" s="1"/>
  <c r="T43" i="18"/>
  <c r="P43" i="18"/>
  <c r="L43" i="18"/>
  <c r="H43" i="18"/>
  <c r="U24" i="18"/>
  <c r="V24" i="18" s="1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T41" i="18"/>
  <c r="P41" i="18"/>
  <c r="L41" i="18"/>
  <c r="H41" i="18"/>
  <c r="E40" i="18"/>
  <c r="F40" i="18"/>
  <c r="G40" i="18"/>
  <c r="T40" i="18"/>
  <c r="P40" i="18"/>
  <c r="L40" i="18"/>
  <c r="U37" i="18"/>
  <c r="V39" i="18" s="1"/>
  <c r="T39" i="18"/>
  <c r="P39" i="18"/>
  <c r="L39" i="18"/>
  <c r="H37" i="18"/>
  <c r="H39" i="18" s="1"/>
  <c r="H30" i="18"/>
  <c r="G30" i="18"/>
  <c r="F30" i="18"/>
  <c r="E30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V37" i="18"/>
  <c r="T37" i="18"/>
  <c r="P37" i="18"/>
  <c r="L37" i="18"/>
  <c r="V36" i="18"/>
  <c r="T36" i="18"/>
  <c r="P36" i="18"/>
  <c r="L36" i="18"/>
  <c r="H36" i="18"/>
  <c r="U24" i="17"/>
  <c r="L42" i="17"/>
  <c r="K42" i="17"/>
  <c r="J42" i="17"/>
  <c r="I42" i="17"/>
  <c r="H42" i="17"/>
  <c r="G42" i="17"/>
  <c r="F42" i="17"/>
  <c r="E42" i="17"/>
  <c r="E40" i="17"/>
  <c r="F40" i="17"/>
  <c r="G40" i="17"/>
  <c r="L40" i="17"/>
  <c r="L37" i="17"/>
  <c r="L30" i="17"/>
  <c r="H37" i="17"/>
  <c r="H39" i="17" s="1"/>
  <c r="H30" i="17"/>
  <c r="G30" i="17"/>
  <c r="F30" i="17"/>
  <c r="E30" i="17"/>
  <c r="L38" i="17"/>
  <c r="K38" i="17"/>
  <c r="J38" i="17"/>
  <c r="I38" i="17"/>
  <c r="H38" i="17"/>
  <c r="G38" i="17"/>
  <c r="F38" i="17"/>
  <c r="E38" i="17"/>
  <c r="V36" i="17"/>
  <c r="L36" i="17"/>
  <c r="H36" i="17"/>
  <c r="L33" i="19"/>
  <c r="H33" i="19"/>
  <c r="L32" i="19"/>
  <c r="H32" i="19"/>
  <c r="E31" i="19"/>
  <c r="F31" i="19"/>
  <c r="G31" i="19"/>
  <c r="I31" i="19"/>
  <c r="J31" i="19"/>
  <c r="K31" i="19"/>
  <c r="L31" i="19"/>
  <c r="L30" i="19"/>
  <c r="K30" i="19"/>
  <c r="J30" i="19"/>
  <c r="I30" i="19"/>
  <c r="H30" i="19"/>
  <c r="G30" i="19"/>
  <c r="F30" i="19"/>
  <c r="E30" i="19"/>
  <c r="L29" i="19"/>
  <c r="H29" i="19"/>
  <c r="L28" i="19"/>
  <c r="H28" i="19"/>
  <c r="L27" i="19"/>
  <c r="K27" i="19"/>
  <c r="J27" i="19"/>
  <c r="I27" i="19"/>
  <c r="H27" i="19"/>
  <c r="G27" i="19"/>
  <c r="F27" i="19"/>
  <c r="E27" i="19"/>
  <c r="L26" i="19"/>
  <c r="H26" i="19"/>
  <c r="L25" i="19"/>
  <c r="K25" i="19"/>
  <c r="J25" i="19"/>
  <c r="I25" i="19"/>
  <c r="H25" i="19"/>
  <c r="G25" i="19"/>
  <c r="F25" i="19"/>
  <c r="E25" i="19"/>
  <c r="L24" i="19"/>
  <c r="H24" i="19"/>
  <c r="L23" i="19"/>
  <c r="K23" i="19"/>
  <c r="J23" i="19"/>
  <c r="I23" i="19"/>
  <c r="H23" i="19"/>
  <c r="G23" i="19"/>
  <c r="F23" i="19"/>
  <c r="E23" i="19"/>
  <c r="L22" i="19"/>
  <c r="H22" i="19"/>
  <c r="L21" i="19"/>
  <c r="K21" i="19"/>
  <c r="J21" i="19"/>
  <c r="I21" i="19"/>
  <c r="H21" i="19"/>
  <c r="G21" i="19"/>
  <c r="F21" i="19"/>
  <c r="E21" i="19"/>
  <c r="L20" i="19"/>
  <c r="H20" i="19"/>
  <c r="L19" i="19"/>
  <c r="K19" i="19"/>
  <c r="J19" i="19"/>
  <c r="I19" i="19"/>
  <c r="H19" i="19"/>
  <c r="G19" i="19"/>
  <c r="F19" i="19"/>
  <c r="E19" i="19"/>
  <c r="L18" i="19"/>
  <c r="H18" i="19"/>
  <c r="L17" i="19"/>
  <c r="K17" i="19"/>
  <c r="J17" i="19"/>
  <c r="I17" i="19"/>
  <c r="H17" i="19"/>
  <c r="G17" i="19"/>
  <c r="F17" i="19"/>
  <c r="E17" i="19"/>
  <c r="L16" i="19"/>
  <c r="H16" i="19"/>
  <c r="L15" i="19"/>
  <c r="K15" i="19"/>
  <c r="J15" i="19"/>
  <c r="I15" i="19"/>
  <c r="H15" i="19"/>
  <c r="G15" i="19"/>
  <c r="F15" i="19"/>
  <c r="E15" i="19"/>
  <c r="L14" i="19"/>
  <c r="H14" i="19"/>
  <c r="L13" i="19"/>
  <c r="K13" i="19"/>
  <c r="J13" i="19"/>
  <c r="I13" i="19"/>
  <c r="H13" i="19"/>
  <c r="G13" i="19"/>
  <c r="F13" i="19"/>
  <c r="E13" i="19"/>
  <c r="L12" i="19"/>
  <c r="H12" i="19"/>
  <c r="L11" i="19"/>
  <c r="K11" i="19"/>
  <c r="J11" i="19"/>
  <c r="I11" i="19"/>
  <c r="H11" i="19"/>
  <c r="G11" i="19"/>
  <c r="F11" i="19"/>
  <c r="E11" i="19"/>
  <c r="L10" i="19"/>
  <c r="H10" i="19"/>
  <c r="L9" i="19"/>
  <c r="H9" i="19"/>
  <c r="L8" i="19"/>
  <c r="H8" i="19"/>
  <c r="H29" i="18"/>
  <c r="H22" i="18"/>
  <c r="H31" i="18"/>
  <c r="H26" i="18"/>
  <c r="H24" i="18"/>
  <c r="H20" i="18"/>
  <c r="H16" i="18"/>
  <c r="H21" i="18" s="1"/>
  <c r="H18" i="18"/>
  <c r="P10" i="18"/>
  <c r="P16" i="18"/>
  <c r="P15" i="18" s="1"/>
  <c r="P12" i="18"/>
  <c r="P13" i="18"/>
  <c r="P14" i="18"/>
  <c r="T10" i="18"/>
  <c r="T16" i="18"/>
  <c r="T12" i="18"/>
  <c r="T14" i="18"/>
  <c r="H14" i="18"/>
  <c r="H12" i="18"/>
  <c r="H10" i="18"/>
  <c r="T24" i="18"/>
  <c r="T25" i="18" s="1"/>
  <c r="T22" i="18"/>
  <c r="T27" i="18" s="1"/>
  <c r="T26" i="18"/>
  <c r="P26" i="18"/>
  <c r="P22" i="18"/>
  <c r="P27" i="18" s="1"/>
  <c r="P24" i="18"/>
  <c r="L26" i="18"/>
  <c r="L22" i="18"/>
  <c r="L25" i="18" s="1"/>
  <c r="L24" i="18"/>
  <c r="K35" i="17"/>
  <c r="J35" i="17"/>
  <c r="I35" i="17"/>
  <c r="L33" i="17"/>
  <c r="L35" i="17" s="1"/>
  <c r="H33" i="17"/>
  <c r="L29" i="17"/>
  <c r="L31" i="17" s="1"/>
  <c r="L22" i="17"/>
  <c r="H29" i="17"/>
  <c r="H31" i="17" s="1"/>
  <c r="H22" i="17"/>
  <c r="T26" i="17"/>
  <c r="T22" i="17"/>
  <c r="T27" i="17"/>
  <c r="T24" i="17"/>
  <c r="P26" i="17"/>
  <c r="P27" i="17" s="1"/>
  <c r="P22" i="17"/>
  <c r="P24" i="17"/>
  <c r="L26" i="17"/>
  <c r="L24" i="17"/>
  <c r="L25" i="17" s="1"/>
  <c r="H26" i="17"/>
  <c r="H27" i="17" s="1"/>
  <c r="H24" i="17"/>
  <c r="H25" i="17" s="1"/>
  <c r="T18" i="17"/>
  <c r="T16" i="17"/>
  <c r="T21" i="17" s="1"/>
  <c r="T20" i="17"/>
  <c r="P20" i="17"/>
  <c r="P16" i="17"/>
  <c r="P18" i="17"/>
  <c r="P19" i="17" s="1"/>
  <c r="L20" i="17"/>
  <c r="L21" i="17" s="1"/>
  <c r="L18" i="17"/>
  <c r="L19" i="17" s="1"/>
  <c r="H20" i="17"/>
  <c r="H18" i="17"/>
  <c r="T14" i="17"/>
  <c r="T12" i="17"/>
  <c r="T10" i="17"/>
  <c r="P14" i="17"/>
  <c r="P15" i="17" s="1"/>
  <c r="P12" i="17"/>
  <c r="P10" i="17"/>
  <c r="L14" i="17"/>
  <c r="L15" i="17" s="1"/>
  <c r="L12" i="17"/>
  <c r="L13" i="17" s="1"/>
  <c r="L10" i="17"/>
  <c r="L11" i="17" s="1"/>
  <c r="H14" i="17"/>
  <c r="H12" i="17"/>
  <c r="H10" i="17"/>
  <c r="O27" i="17"/>
  <c r="N27" i="17"/>
  <c r="M27" i="17"/>
  <c r="T23" i="15"/>
  <c r="S23" i="15"/>
  <c r="R23" i="15"/>
  <c r="Q23" i="15"/>
  <c r="P23" i="15"/>
  <c r="P23" i="1"/>
  <c r="P23" i="18"/>
  <c r="P23" i="17"/>
  <c r="W22" i="17"/>
  <c r="U33" i="18"/>
  <c r="U16" i="18"/>
  <c r="V17" i="18" s="1"/>
  <c r="T35" i="18"/>
  <c r="P35" i="18"/>
  <c r="L35" i="18"/>
  <c r="H35" i="18"/>
  <c r="U8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V33" i="18"/>
  <c r="T33" i="18"/>
  <c r="P33" i="18"/>
  <c r="L33" i="18"/>
  <c r="H33" i="18"/>
  <c r="V32" i="18"/>
  <c r="T32" i="18"/>
  <c r="P32" i="18"/>
  <c r="L32" i="18"/>
  <c r="H32" i="18"/>
  <c r="U29" i="18"/>
  <c r="V30" i="18" s="1"/>
  <c r="U22" i="18"/>
  <c r="V23" i="18" s="1"/>
  <c r="T31" i="18"/>
  <c r="P31" i="18"/>
  <c r="L31" i="18"/>
  <c r="E31" i="18"/>
  <c r="F31" i="18"/>
  <c r="G31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T29" i="18"/>
  <c r="P29" i="18"/>
  <c r="L29" i="18"/>
  <c r="V28" i="18"/>
  <c r="T28" i="18"/>
  <c r="P28" i="18"/>
  <c r="L28" i="18"/>
  <c r="H28" i="18"/>
  <c r="U26" i="18"/>
  <c r="V26" i="18" s="1"/>
  <c r="E27" i="18"/>
  <c r="F27" i="18"/>
  <c r="G27" i="18"/>
  <c r="E25" i="18"/>
  <c r="F25" i="18"/>
  <c r="G25" i="18"/>
  <c r="T23" i="18"/>
  <c r="S23" i="18"/>
  <c r="R23" i="18"/>
  <c r="Q23" i="18"/>
  <c r="O23" i="18"/>
  <c r="N23" i="18"/>
  <c r="M23" i="18"/>
  <c r="L23" i="18"/>
  <c r="K23" i="18"/>
  <c r="J23" i="18"/>
  <c r="I23" i="18"/>
  <c r="H23" i="18"/>
  <c r="G23" i="18"/>
  <c r="F23" i="18"/>
  <c r="E23" i="18"/>
  <c r="U20" i="18"/>
  <c r="V20" i="18" s="1"/>
  <c r="V21" i="18"/>
  <c r="T21" i="18"/>
  <c r="P21" i="18"/>
  <c r="L21" i="18"/>
  <c r="T20" i="18"/>
  <c r="P20" i="18"/>
  <c r="L20" i="18"/>
  <c r="U18" i="18"/>
  <c r="V19" i="18" s="1"/>
  <c r="T19" i="18"/>
  <c r="P19" i="18"/>
  <c r="L19" i="18"/>
  <c r="T18" i="18"/>
  <c r="P18" i="18"/>
  <c r="L18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L16" i="18"/>
  <c r="U14" i="18"/>
  <c r="V14" i="18" s="1"/>
  <c r="L15" i="18"/>
  <c r="L14" i="18"/>
  <c r="U12" i="18"/>
  <c r="V12" i="18" s="1"/>
  <c r="L13" i="18"/>
  <c r="L12" i="18"/>
  <c r="U10" i="18"/>
  <c r="L11" i="18"/>
  <c r="L10" i="18"/>
  <c r="V9" i="18"/>
  <c r="T9" i="18"/>
  <c r="P9" i="18"/>
  <c r="L9" i="18"/>
  <c r="H9" i="18"/>
  <c r="V8" i="18"/>
  <c r="T8" i="18"/>
  <c r="P8" i="18"/>
  <c r="L8" i="18"/>
  <c r="H8" i="18"/>
  <c r="Q17" i="17"/>
  <c r="U33" i="16"/>
  <c r="V34" i="16" s="1"/>
  <c r="U16" i="16"/>
  <c r="V17" i="16" s="1"/>
  <c r="U8" i="16"/>
  <c r="Q32" i="16"/>
  <c r="R32" i="16"/>
  <c r="S32" i="16"/>
  <c r="U29" i="16"/>
  <c r="S22" i="16"/>
  <c r="R22" i="16"/>
  <c r="Q22" i="16"/>
  <c r="O22" i="16"/>
  <c r="N22" i="16"/>
  <c r="N23" i="16" s="1"/>
  <c r="M22" i="16"/>
  <c r="P23" i="16" s="1"/>
  <c r="K22" i="16"/>
  <c r="K23" i="16" s="1"/>
  <c r="J22" i="16"/>
  <c r="I22" i="16"/>
  <c r="I23" i="16" s="1"/>
  <c r="G22" i="16"/>
  <c r="G23" i="16" s="1"/>
  <c r="F22" i="16"/>
  <c r="F23" i="16" s="1"/>
  <c r="E22" i="16"/>
  <c r="V29" i="16"/>
  <c r="V28" i="16"/>
  <c r="U26" i="16"/>
  <c r="V26" i="16" s="1"/>
  <c r="V24" i="16"/>
  <c r="U20" i="16"/>
  <c r="V21" i="16" s="1"/>
  <c r="O18" i="16"/>
  <c r="U18" i="16"/>
  <c r="V19" i="16" s="1"/>
  <c r="V16" i="16"/>
  <c r="U14" i="16"/>
  <c r="V15" i="16" s="1"/>
  <c r="U12" i="16"/>
  <c r="V12" i="16" s="1"/>
  <c r="U10" i="16"/>
  <c r="V10" i="16" s="1"/>
  <c r="S23" i="16"/>
  <c r="Q23" i="16"/>
  <c r="O23" i="16"/>
  <c r="T35" i="16"/>
  <c r="P35" i="16"/>
  <c r="L35" i="16"/>
  <c r="H35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T33" i="16"/>
  <c r="P33" i="16"/>
  <c r="L33" i="16"/>
  <c r="H33" i="16"/>
  <c r="T32" i="16"/>
  <c r="P32" i="16"/>
  <c r="L32" i="16"/>
  <c r="H32" i="16"/>
  <c r="T31" i="16"/>
  <c r="P31" i="16"/>
  <c r="L31" i="16"/>
  <c r="H31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T29" i="16"/>
  <c r="P29" i="16"/>
  <c r="L29" i="16"/>
  <c r="H29" i="16"/>
  <c r="T28" i="16"/>
  <c r="P28" i="16"/>
  <c r="L28" i="16"/>
  <c r="H28" i="16"/>
  <c r="T27" i="16"/>
  <c r="P27" i="16"/>
  <c r="L27" i="16"/>
  <c r="H27" i="16"/>
  <c r="T26" i="16"/>
  <c r="P26" i="16"/>
  <c r="L26" i="16"/>
  <c r="H26" i="16"/>
  <c r="T25" i="16"/>
  <c r="P25" i="16"/>
  <c r="L25" i="16"/>
  <c r="H25" i="16"/>
  <c r="T24" i="16"/>
  <c r="P24" i="16"/>
  <c r="L24" i="16"/>
  <c r="H24" i="16"/>
  <c r="T21" i="16"/>
  <c r="P21" i="16"/>
  <c r="L21" i="16"/>
  <c r="H21" i="16"/>
  <c r="T20" i="16"/>
  <c r="P20" i="16"/>
  <c r="L20" i="16"/>
  <c r="H20" i="16"/>
  <c r="T19" i="16"/>
  <c r="P19" i="16"/>
  <c r="L19" i="16"/>
  <c r="H19" i="16"/>
  <c r="T18" i="16"/>
  <c r="P18" i="16"/>
  <c r="L18" i="16"/>
  <c r="H18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T16" i="16"/>
  <c r="P16" i="16"/>
  <c r="L16" i="16"/>
  <c r="H16" i="16"/>
  <c r="T15" i="16"/>
  <c r="P15" i="16"/>
  <c r="L15" i="16"/>
  <c r="H15" i="16"/>
  <c r="T14" i="16"/>
  <c r="P14" i="16"/>
  <c r="L14" i="16"/>
  <c r="H14" i="16"/>
  <c r="T13" i="16"/>
  <c r="P13" i="16"/>
  <c r="L13" i="16"/>
  <c r="H13" i="16"/>
  <c r="T12" i="16"/>
  <c r="P12" i="16"/>
  <c r="L12" i="16"/>
  <c r="H12" i="16"/>
  <c r="T11" i="16"/>
  <c r="P11" i="16"/>
  <c r="L11" i="16"/>
  <c r="H11" i="16"/>
  <c r="T10" i="16"/>
  <c r="P10" i="16"/>
  <c r="L10" i="16"/>
  <c r="H10" i="16"/>
  <c r="V9" i="16"/>
  <c r="T9" i="16"/>
  <c r="P9" i="16"/>
  <c r="L9" i="16"/>
  <c r="H9" i="16"/>
  <c r="V8" i="16"/>
  <c r="T8" i="16"/>
  <c r="P8" i="16"/>
  <c r="L8" i="16"/>
  <c r="H8" i="16"/>
  <c r="U33" i="14"/>
  <c r="U16" i="14"/>
  <c r="U8" i="14"/>
  <c r="V32" i="14"/>
  <c r="U29" i="14"/>
  <c r="V29" i="14" s="1"/>
  <c r="S22" i="14"/>
  <c r="R22" i="14"/>
  <c r="Q22" i="14"/>
  <c r="O22" i="14"/>
  <c r="O23" i="14" s="1"/>
  <c r="N22" i="14"/>
  <c r="N23" i="14" s="1"/>
  <c r="M22" i="14"/>
  <c r="P22" i="14" s="1"/>
  <c r="K22" i="14"/>
  <c r="K23" i="14" s="1"/>
  <c r="J22" i="14"/>
  <c r="J23" i="14" s="1"/>
  <c r="I22" i="14"/>
  <c r="I23" i="14" s="1"/>
  <c r="G22" i="14"/>
  <c r="G23" i="14" s="1"/>
  <c r="F22" i="14"/>
  <c r="E22" i="14"/>
  <c r="F28" i="14"/>
  <c r="H28" i="14" s="1"/>
  <c r="V28" i="14"/>
  <c r="U26" i="14"/>
  <c r="V26" i="14" s="1"/>
  <c r="V24" i="14"/>
  <c r="U20" i="14"/>
  <c r="V21" i="14" s="1"/>
  <c r="U18" i="14"/>
  <c r="V19" i="14" s="1"/>
  <c r="U14" i="14"/>
  <c r="V15" i="14" s="1"/>
  <c r="U12" i="14"/>
  <c r="V12" i="14" s="1"/>
  <c r="U10" i="14"/>
  <c r="V11" i="14" s="1"/>
  <c r="R23" i="14"/>
  <c r="F23" i="14"/>
  <c r="T21" i="14"/>
  <c r="P21" i="14"/>
  <c r="L21" i="14"/>
  <c r="H21" i="14"/>
  <c r="T20" i="14"/>
  <c r="P20" i="14"/>
  <c r="L20" i="14"/>
  <c r="H20" i="14"/>
  <c r="T35" i="14"/>
  <c r="P35" i="14"/>
  <c r="L35" i="14"/>
  <c r="H35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T33" i="14"/>
  <c r="P33" i="14"/>
  <c r="L33" i="14"/>
  <c r="H33" i="14"/>
  <c r="T32" i="14"/>
  <c r="P32" i="14"/>
  <c r="L32" i="14"/>
  <c r="H32" i="14"/>
  <c r="T31" i="14"/>
  <c r="P31" i="14"/>
  <c r="L31" i="14"/>
  <c r="H31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T29" i="14"/>
  <c r="P29" i="14"/>
  <c r="L29" i="14"/>
  <c r="H29" i="14"/>
  <c r="T28" i="14"/>
  <c r="P28" i="14"/>
  <c r="L28" i="14"/>
  <c r="T27" i="14"/>
  <c r="P27" i="14"/>
  <c r="L27" i="14"/>
  <c r="H27" i="14"/>
  <c r="T26" i="14"/>
  <c r="P26" i="14"/>
  <c r="L26" i="14"/>
  <c r="H26" i="14"/>
  <c r="T25" i="14"/>
  <c r="P25" i="14"/>
  <c r="L25" i="14"/>
  <c r="H25" i="14"/>
  <c r="T24" i="14"/>
  <c r="P24" i="14"/>
  <c r="L24" i="14"/>
  <c r="H24" i="14"/>
  <c r="T19" i="14"/>
  <c r="P19" i="14"/>
  <c r="L19" i="14"/>
  <c r="H19" i="14"/>
  <c r="T18" i="14"/>
  <c r="P18" i="14"/>
  <c r="L18" i="14"/>
  <c r="H18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T16" i="14"/>
  <c r="P16" i="14"/>
  <c r="L16" i="14"/>
  <c r="H16" i="14"/>
  <c r="T15" i="14"/>
  <c r="P15" i="14"/>
  <c r="L15" i="14"/>
  <c r="H15" i="14"/>
  <c r="T14" i="14"/>
  <c r="P14" i="14"/>
  <c r="L14" i="14"/>
  <c r="H14" i="14"/>
  <c r="T13" i="14"/>
  <c r="P13" i="14"/>
  <c r="L13" i="14"/>
  <c r="H13" i="14"/>
  <c r="T12" i="14"/>
  <c r="P12" i="14"/>
  <c r="L12" i="14"/>
  <c r="H12" i="14"/>
  <c r="T11" i="14"/>
  <c r="P11" i="14"/>
  <c r="L11" i="14"/>
  <c r="H11" i="14"/>
  <c r="T10" i="14"/>
  <c r="P10" i="14"/>
  <c r="L10" i="14"/>
  <c r="H10" i="14"/>
  <c r="V9" i="14"/>
  <c r="T9" i="14"/>
  <c r="P9" i="14"/>
  <c r="L9" i="14"/>
  <c r="H9" i="14"/>
  <c r="V8" i="14"/>
  <c r="T8" i="14"/>
  <c r="P8" i="14"/>
  <c r="L8" i="14"/>
  <c r="H8" i="14"/>
  <c r="U33" i="15"/>
  <c r="V34" i="15" s="1"/>
  <c r="U16" i="15"/>
  <c r="U8" i="15"/>
  <c r="V32" i="15"/>
  <c r="U29" i="15"/>
  <c r="U22" i="15"/>
  <c r="V22" i="15" s="1"/>
  <c r="V29" i="15"/>
  <c r="V28" i="15"/>
  <c r="U26" i="15"/>
  <c r="U20" i="15"/>
  <c r="V21" i="15" s="1"/>
  <c r="U18" i="15"/>
  <c r="V18" i="15" s="1"/>
  <c r="V19" i="15"/>
  <c r="V16" i="15"/>
  <c r="U14" i="15"/>
  <c r="V14" i="15" s="1"/>
  <c r="U12" i="15"/>
  <c r="V13" i="15" s="1"/>
  <c r="U10" i="15"/>
  <c r="V10" i="15" s="1"/>
  <c r="T35" i="15"/>
  <c r="P35" i="15"/>
  <c r="L35" i="15"/>
  <c r="H35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T33" i="15"/>
  <c r="P33" i="15"/>
  <c r="L33" i="15"/>
  <c r="H33" i="15"/>
  <c r="T32" i="15"/>
  <c r="P32" i="15"/>
  <c r="L32" i="15"/>
  <c r="H32" i="15"/>
  <c r="E31" i="15"/>
  <c r="F31" i="15"/>
  <c r="H31" i="15" s="1"/>
  <c r="G31" i="15"/>
  <c r="I31" i="15"/>
  <c r="J31" i="15"/>
  <c r="K31" i="15"/>
  <c r="T31" i="15"/>
  <c r="P31" i="15"/>
  <c r="T30" i="15"/>
  <c r="S30" i="15"/>
  <c r="R30" i="15"/>
  <c r="Q30" i="15"/>
  <c r="P30" i="15"/>
  <c r="O30" i="15"/>
  <c r="N30" i="15"/>
  <c r="M30" i="15"/>
  <c r="L30" i="15"/>
  <c r="H30" i="15"/>
  <c r="T29" i="15"/>
  <c r="P29" i="15"/>
  <c r="L29" i="15"/>
  <c r="H29" i="15"/>
  <c r="T28" i="15"/>
  <c r="P28" i="15"/>
  <c r="L28" i="15"/>
  <c r="H28" i="15"/>
  <c r="E27" i="15"/>
  <c r="F27" i="15"/>
  <c r="G27" i="15"/>
  <c r="I27" i="15"/>
  <c r="J27" i="15"/>
  <c r="K27" i="15"/>
  <c r="M27" i="15"/>
  <c r="N27" i="15"/>
  <c r="O27" i="15"/>
  <c r="T27" i="15"/>
  <c r="T26" i="15"/>
  <c r="P26" i="15"/>
  <c r="L26" i="15"/>
  <c r="H26" i="15"/>
  <c r="E25" i="15"/>
  <c r="F25" i="15"/>
  <c r="H25" i="15" s="1"/>
  <c r="G25" i="15"/>
  <c r="I25" i="15"/>
  <c r="J25" i="15"/>
  <c r="K25" i="15"/>
  <c r="M25" i="15"/>
  <c r="N25" i="15"/>
  <c r="O25" i="15"/>
  <c r="T25" i="15"/>
  <c r="T24" i="15"/>
  <c r="P24" i="15"/>
  <c r="L24" i="15"/>
  <c r="H24" i="15"/>
  <c r="O23" i="15"/>
  <c r="N23" i="15"/>
  <c r="M23" i="15"/>
  <c r="L23" i="15"/>
  <c r="K23" i="15"/>
  <c r="J23" i="15"/>
  <c r="I23" i="15"/>
  <c r="H23" i="15"/>
  <c r="G23" i="15"/>
  <c r="F23" i="15"/>
  <c r="E23" i="15"/>
  <c r="T22" i="15"/>
  <c r="P22" i="15"/>
  <c r="L22" i="15"/>
  <c r="H22" i="15"/>
  <c r="T21" i="15"/>
  <c r="P21" i="15"/>
  <c r="L21" i="15"/>
  <c r="H21" i="15"/>
  <c r="T20" i="15"/>
  <c r="P20" i="15"/>
  <c r="L20" i="15"/>
  <c r="H20" i="15"/>
  <c r="T19" i="15"/>
  <c r="P19" i="15"/>
  <c r="L19" i="15"/>
  <c r="H19" i="15"/>
  <c r="T18" i="15"/>
  <c r="P18" i="15"/>
  <c r="L18" i="15"/>
  <c r="H18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T16" i="15"/>
  <c r="P16" i="15"/>
  <c r="L16" i="15"/>
  <c r="H16" i="15"/>
  <c r="T15" i="15"/>
  <c r="P15" i="15"/>
  <c r="L15" i="15"/>
  <c r="H15" i="15"/>
  <c r="T14" i="15"/>
  <c r="P14" i="15"/>
  <c r="L14" i="15"/>
  <c r="H14" i="15"/>
  <c r="T13" i="15"/>
  <c r="P13" i="15"/>
  <c r="L13" i="15"/>
  <c r="H13" i="15"/>
  <c r="T12" i="15"/>
  <c r="P12" i="15"/>
  <c r="L12" i="15"/>
  <c r="H12" i="15"/>
  <c r="T11" i="15"/>
  <c r="P11" i="15"/>
  <c r="L11" i="15"/>
  <c r="H11" i="15"/>
  <c r="T10" i="15"/>
  <c r="P10" i="15"/>
  <c r="L10" i="15"/>
  <c r="H10" i="15"/>
  <c r="V9" i="15"/>
  <c r="T9" i="15"/>
  <c r="P9" i="15"/>
  <c r="L9" i="15"/>
  <c r="H9" i="15"/>
  <c r="V8" i="15"/>
  <c r="T8" i="15"/>
  <c r="P8" i="15"/>
  <c r="L8" i="15"/>
  <c r="H8" i="15"/>
  <c r="U33" i="1"/>
  <c r="U16" i="1"/>
  <c r="V35" i="1" s="1"/>
  <c r="U29" i="1"/>
  <c r="V29" i="1" s="1"/>
  <c r="U22" i="1"/>
  <c r="V23" i="1" s="1"/>
  <c r="U26" i="1"/>
  <c r="V26" i="1"/>
  <c r="U8" i="1"/>
  <c r="U20" i="1"/>
  <c r="V20" i="1" s="1"/>
  <c r="U18" i="1"/>
  <c r="V33" i="1"/>
  <c r="V32" i="1"/>
  <c r="V28" i="1"/>
  <c r="V18" i="1"/>
  <c r="U14" i="1"/>
  <c r="V15" i="1" s="1"/>
  <c r="U12" i="1"/>
  <c r="V12" i="1" s="1"/>
  <c r="U10" i="1"/>
  <c r="V10" i="1" s="1"/>
  <c r="T35" i="1"/>
  <c r="T34" i="1"/>
  <c r="S34" i="1"/>
  <c r="R34" i="1"/>
  <c r="Q34" i="1"/>
  <c r="T33" i="1"/>
  <c r="T32" i="1"/>
  <c r="T31" i="1"/>
  <c r="T30" i="1"/>
  <c r="S30" i="1"/>
  <c r="R30" i="1"/>
  <c r="Q30" i="1"/>
  <c r="T29" i="1"/>
  <c r="T28" i="1"/>
  <c r="T27" i="1"/>
  <c r="T26" i="1"/>
  <c r="T25" i="1"/>
  <c r="T24" i="1"/>
  <c r="T23" i="1"/>
  <c r="S23" i="1"/>
  <c r="R23" i="1"/>
  <c r="Q23" i="1"/>
  <c r="T22" i="1"/>
  <c r="T21" i="1"/>
  <c r="T20" i="1"/>
  <c r="T19" i="1"/>
  <c r="T18" i="1"/>
  <c r="T17" i="1"/>
  <c r="S17" i="1"/>
  <c r="R17" i="1"/>
  <c r="T16" i="1"/>
  <c r="T15" i="1"/>
  <c r="T14" i="1"/>
  <c r="T13" i="1"/>
  <c r="T12" i="1"/>
  <c r="T11" i="1"/>
  <c r="T10" i="1"/>
  <c r="T9" i="1"/>
  <c r="T8" i="1"/>
  <c r="P35" i="1"/>
  <c r="L35" i="1"/>
  <c r="H35" i="1"/>
  <c r="P34" i="1"/>
  <c r="O34" i="1"/>
  <c r="N34" i="1"/>
  <c r="M34" i="1"/>
  <c r="L34" i="1"/>
  <c r="K34" i="1"/>
  <c r="J34" i="1"/>
  <c r="I34" i="1"/>
  <c r="H34" i="1"/>
  <c r="G34" i="1"/>
  <c r="F34" i="1"/>
  <c r="E34" i="1"/>
  <c r="P33" i="1"/>
  <c r="L33" i="1"/>
  <c r="H33" i="1"/>
  <c r="P32" i="1"/>
  <c r="L32" i="1"/>
  <c r="H32" i="1"/>
  <c r="P31" i="1"/>
  <c r="L31" i="1"/>
  <c r="E31" i="1"/>
  <c r="F31" i="1"/>
  <c r="G31" i="1"/>
  <c r="P30" i="1"/>
  <c r="O30" i="1"/>
  <c r="N30" i="1"/>
  <c r="M30" i="1"/>
  <c r="L30" i="1"/>
  <c r="K30" i="1"/>
  <c r="J30" i="1"/>
  <c r="I30" i="1"/>
  <c r="H30" i="1"/>
  <c r="P29" i="1"/>
  <c r="L29" i="1"/>
  <c r="H29" i="1"/>
  <c r="P28" i="1"/>
  <c r="L28" i="1"/>
  <c r="H28" i="1"/>
  <c r="P27" i="1"/>
  <c r="L27" i="1"/>
  <c r="E27" i="1"/>
  <c r="F27" i="1"/>
  <c r="G27" i="1"/>
  <c r="P26" i="1"/>
  <c r="L26" i="1"/>
  <c r="H26" i="1"/>
  <c r="P25" i="1"/>
  <c r="L25" i="1"/>
  <c r="E25" i="1"/>
  <c r="H25" i="1" s="1"/>
  <c r="F25" i="1"/>
  <c r="G25" i="1"/>
  <c r="P24" i="1"/>
  <c r="L24" i="1"/>
  <c r="H24" i="1"/>
  <c r="O23" i="1"/>
  <c r="N23" i="1"/>
  <c r="M23" i="1"/>
  <c r="L23" i="1"/>
  <c r="K23" i="1"/>
  <c r="J23" i="1"/>
  <c r="I23" i="1"/>
  <c r="H23" i="1"/>
  <c r="G23" i="1"/>
  <c r="F23" i="1"/>
  <c r="E23" i="1"/>
  <c r="P22" i="1"/>
  <c r="L22" i="1"/>
  <c r="H22" i="1"/>
  <c r="P21" i="1"/>
  <c r="L21" i="1"/>
  <c r="H21" i="1"/>
  <c r="P20" i="1"/>
  <c r="L20" i="1"/>
  <c r="H20" i="1"/>
  <c r="P19" i="1"/>
  <c r="L19" i="1"/>
  <c r="H19" i="1"/>
  <c r="P18" i="1"/>
  <c r="L18" i="1"/>
  <c r="H18" i="1"/>
  <c r="P17" i="1"/>
  <c r="O17" i="1"/>
  <c r="N17" i="1"/>
  <c r="M17" i="1"/>
  <c r="L17" i="1"/>
  <c r="K17" i="1"/>
  <c r="J17" i="1"/>
  <c r="I17" i="1"/>
  <c r="H17" i="1"/>
  <c r="G17" i="1"/>
  <c r="F17" i="1"/>
  <c r="E17" i="1"/>
  <c r="P16" i="1"/>
  <c r="L16" i="1"/>
  <c r="H16" i="1"/>
  <c r="P15" i="1"/>
  <c r="L15" i="1"/>
  <c r="H15" i="1"/>
  <c r="P14" i="1"/>
  <c r="L14" i="1"/>
  <c r="H14" i="1"/>
  <c r="P13" i="1"/>
  <c r="L13" i="1"/>
  <c r="H13" i="1"/>
  <c r="P12" i="1"/>
  <c r="L12" i="1"/>
  <c r="H12" i="1"/>
  <c r="P11" i="1"/>
  <c r="L11" i="1"/>
  <c r="H11" i="1"/>
  <c r="P10" i="1"/>
  <c r="L10" i="1"/>
  <c r="H10" i="1"/>
  <c r="P9" i="1"/>
  <c r="L9" i="1"/>
  <c r="H9" i="1"/>
  <c r="P8" i="1"/>
  <c r="L8" i="1"/>
  <c r="H8" i="1"/>
  <c r="V9" i="1"/>
  <c r="V8" i="1"/>
  <c r="U33" i="17"/>
  <c r="V34" i="17" s="1"/>
  <c r="T35" i="17"/>
  <c r="P35" i="17"/>
  <c r="U8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V33" i="17"/>
  <c r="T33" i="17"/>
  <c r="P33" i="17"/>
  <c r="V32" i="17"/>
  <c r="T32" i="17"/>
  <c r="P32" i="17"/>
  <c r="L32" i="17"/>
  <c r="H32" i="17"/>
  <c r="U29" i="17"/>
  <c r="V29" i="17" s="1"/>
  <c r="U22" i="17"/>
  <c r="V31" i="17" s="1"/>
  <c r="T31" i="17"/>
  <c r="P31" i="17"/>
  <c r="E31" i="17"/>
  <c r="F31" i="17"/>
  <c r="G31" i="17"/>
  <c r="V30" i="17"/>
  <c r="T30" i="17"/>
  <c r="S30" i="17"/>
  <c r="R30" i="17"/>
  <c r="Q30" i="17"/>
  <c r="P30" i="17"/>
  <c r="O30" i="17"/>
  <c r="N30" i="17"/>
  <c r="M30" i="17"/>
  <c r="K30" i="17"/>
  <c r="J30" i="17"/>
  <c r="I30" i="17"/>
  <c r="T29" i="17"/>
  <c r="P29" i="17"/>
  <c r="V28" i="17"/>
  <c r="T28" i="17"/>
  <c r="P28" i="17"/>
  <c r="L28" i="17"/>
  <c r="H28" i="17"/>
  <c r="U26" i="17"/>
  <c r="E27" i="17"/>
  <c r="F27" i="17"/>
  <c r="G27" i="17"/>
  <c r="E25" i="17"/>
  <c r="F25" i="17"/>
  <c r="G25" i="17"/>
  <c r="T23" i="17"/>
  <c r="S23" i="17"/>
  <c r="R23" i="17"/>
  <c r="Q23" i="17"/>
  <c r="O23" i="17"/>
  <c r="N23" i="17"/>
  <c r="M23" i="17"/>
  <c r="L23" i="17"/>
  <c r="K23" i="17"/>
  <c r="J23" i="17"/>
  <c r="I23" i="17"/>
  <c r="H23" i="17"/>
  <c r="G23" i="17"/>
  <c r="F23" i="17"/>
  <c r="E23" i="17"/>
  <c r="U20" i="17"/>
  <c r="V20" i="17"/>
  <c r="U18" i="17"/>
  <c r="V18" i="17" s="1"/>
  <c r="T17" i="17"/>
  <c r="S17" i="17"/>
  <c r="R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U14" i="17"/>
  <c r="U12" i="17"/>
  <c r="V12" i="17" s="1"/>
  <c r="U10" i="17"/>
  <c r="V10" i="17"/>
  <c r="V11" i="17"/>
  <c r="V9" i="17"/>
  <c r="T9" i="17"/>
  <c r="P9" i="17"/>
  <c r="L9" i="17"/>
  <c r="H9" i="17"/>
  <c r="V8" i="17"/>
  <c r="T8" i="17"/>
  <c r="P8" i="17"/>
  <c r="L8" i="17"/>
  <c r="H8" i="17"/>
  <c r="V11" i="1"/>
  <c r="V18" i="16"/>
  <c r="F14" i="23"/>
  <c r="F20" i="23"/>
  <c r="F12" i="23"/>
  <c r="F10" i="23"/>
  <c r="F16" i="23"/>
  <c r="G18" i="22"/>
  <c r="G10" i="22"/>
  <c r="G16" i="22"/>
  <c r="G14" i="22"/>
  <c r="G20" i="22"/>
  <c r="G12" i="22"/>
  <c r="J18" i="25"/>
  <c r="L14" i="25"/>
  <c r="J10" i="25"/>
  <c r="J16" i="25"/>
  <c r="J14" i="25"/>
  <c r="J20" i="25"/>
  <c r="J12" i="25"/>
  <c r="V30" i="15"/>
  <c r="V17" i="15"/>
  <c r="L20" i="25"/>
  <c r="V9" i="24"/>
  <c r="V25" i="24"/>
  <c r="I26" i="25"/>
  <c r="J23" i="16"/>
  <c r="V10" i="18"/>
  <c r="V42" i="1"/>
  <c r="V24" i="19"/>
  <c r="V27" i="19"/>
  <c r="I18" i="22"/>
  <c r="F18" i="23"/>
  <c r="E24" i="23"/>
  <c r="L18" i="25"/>
  <c r="K20" i="25"/>
  <c r="T22" i="14"/>
  <c r="V20" i="14"/>
  <c r="F22" i="22"/>
  <c r="E24" i="22"/>
  <c r="J10" i="22"/>
  <c r="I12" i="22"/>
  <c r="I20" i="22"/>
  <c r="E14" i="23"/>
  <c r="U24" i="24"/>
  <c r="V13" i="24"/>
  <c r="I10" i="25"/>
  <c r="L12" i="25"/>
  <c r="I14" i="22"/>
  <c r="H17" i="23"/>
  <c r="U16" i="24"/>
  <c r="L12" i="26"/>
  <c r="L17" i="26"/>
  <c r="T28" i="25"/>
  <c r="V28" i="25"/>
  <c r="R22" i="25"/>
  <c r="R24" i="25"/>
  <c r="U21" i="25"/>
  <c r="V22" i="25" s="1"/>
  <c r="Q22" i="25"/>
  <c r="Q24" i="25"/>
  <c r="S16" i="25"/>
  <c r="T17" i="25"/>
  <c r="V17" i="25"/>
  <c r="G26" i="26"/>
  <c r="H21" i="26"/>
  <c r="E24" i="26"/>
  <c r="J22" i="26"/>
  <c r="J24" i="26"/>
  <c r="J26" i="26"/>
  <c r="I26" i="26"/>
  <c r="I28" i="26"/>
  <c r="I22" i="26"/>
  <c r="I12" i="26"/>
  <c r="J28" i="26"/>
  <c r="L28" i="26" s="1"/>
  <c r="N10" i="26"/>
  <c r="N12" i="26"/>
  <c r="M12" i="26"/>
  <c r="I14" i="26"/>
  <c r="J10" i="26"/>
  <c r="J12" i="26"/>
  <c r="J20" i="26"/>
  <c r="J14" i="26"/>
  <c r="J18" i="26"/>
  <c r="M14" i="26"/>
  <c r="N14" i="26"/>
  <c r="N18" i="26"/>
  <c r="N20" i="26"/>
  <c r="O12" i="26"/>
  <c r="I16" i="26"/>
  <c r="I31" i="26"/>
  <c r="I30" i="26" s="1"/>
  <c r="I10" i="26"/>
  <c r="I18" i="26"/>
  <c r="O20" i="26"/>
  <c r="O31" i="26"/>
  <c r="O32" i="26" s="1"/>
  <c r="P15" i="26"/>
  <c r="P18" i="26"/>
  <c r="O29" i="26"/>
  <c r="M26" i="26"/>
  <c r="T24" i="26"/>
  <c r="V19" i="26"/>
  <c r="R15" i="26"/>
  <c r="R12" i="26" s="1"/>
  <c r="O30" i="26"/>
  <c r="R18" i="26"/>
  <c r="R20" i="26"/>
  <c r="U19" i="26"/>
  <c r="S15" i="26"/>
  <c r="S18" i="26" s="1"/>
  <c r="Q15" i="26"/>
  <c r="Q18" i="26" s="1"/>
  <c r="V17" i="26" s="1"/>
  <c r="Q31" i="26"/>
  <c r="T12" i="26"/>
  <c r="V22" i="17" l="1"/>
  <c r="M22" i="26"/>
  <c r="L20" i="22"/>
  <c r="H31" i="1"/>
  <c r="V31" i="15"/>
  <c r="H11" i="17"/>
  <c r="H27" i="18"/>
  <c r="K16" i="22"/>
  <c r="L18" i="22"/>
  <c r="R22" i="26"/>
  <c r="V23" i="17"/>
  <c r="L27" i="15"/>
  <c r="L10" i="22"/>
  <c r="S31" i="26"/>
  <c r="S32" i="26" s="1"/>
  <c r="S20" i="26"/>
  <c r="P26" i="26"/>
  <c r="E26" i="26"/>
  <c r="V34" i="1"/>
  <c r="L31" i="15"/>
  <c r="V17" i="14"/>
  <c r="H23" i="16"/>
  <c r="H13" i="17"/>
  <c r="T11" i="17"/>
  <c r="L27" i="17"/>
  <c r="P11" i="18"/>
  <c r="V17" i="19"/>
  <c r="G22" i="22"/>
  <c r="J12" i="22"/>
  <c r="S10" i="26"/>
  <c r="R31" i="26"/>
  <c r="T32" i="26" s="1"/>
  <c r="I32" i="26"/>
  <c r="P22" i="26"/>
  <c r="E22" i="26"/>
  <c r="L15" i="22"/>
  <c r="L12" i="22"/>
  <c r="V15" i="17"/>
  <c r="V19" i="17"/>
  <c r="V18" i="14"/>
  <c r="V34" i="14"/>
  <c r="T13" i="17"/>
  <c r="P25" i="17"/>
  <c r="T11" i="18"/>
  <c r="H19" i="18"/>
  <c r="V41" i="18"/>
  <c r="V38" i="1"/>
  <c r="V41" i="15"/>
  <c r="K12" i="22"/>
  <c r="K18" i="22"/>
  <c r="S12" i="26"/>
  <c r="T20" i="26"/>
  <c r="M28" i="26"/>
  <c r="M29" i="26" s="1"/>
  <c r="H24" i="22"/>
  <c r="P27" i="15"/>
  <c r="V12" i="15"/>
  <c r="T15" i="17"/>
  <c r="H40" i="15"/>
  <c r="V25" i="15"/>
  <c r="V23" i="19"/>
  <c r="V29" i="25"/>
  <c r="K22" i="26"/>
  <c r="V27" i="15"/>
  <c r="M23" i="14"/>
  <c r="V40" i="17"/>
  <c r="V25" i="19"/>
  <c r="J14" i="22"/>
  <c r="J20" i="22"/>
  <c r="N26" i="26"/>
  <c r="L14" i="22"/>
  <c r="U18" i="24"/>
  <c r="T15" i="26"/>
  <c r="T21" i="26"/>
  <c r="L24" i="26"/>
  <c r="V38" i="15"/>
  <c r="V27" i="17"/>
  <c r="V15" i="15"/>
  <c r="V30" i="14"/>
  <c r="V30" i="16"/>
  <c r="T19" i="17"/>
  <c r="T25" i="17"/>
  <c r="H35" i="17"/>
  <c r="P25" i="18"/>
  <c r="V25" i="17"/>
  <c r="V41" i="1"/>
  <c r="V37" i="15"/>
  <c r="V40" i="15"/>
  <c r="L43" i="17"/>
  <c r="F26" i="22"/>
  <c r="I10" i="22"/>
  <c r="K14" i="22"/>
  <c r="H22" i="23"/>
  <c r="U20" i="24"/>
  <c r="J22" i="25"/>
  <c r="K20" i="26"/>
  <c r="T26" i="25"/>
  <c r="G14" i="23"/>
  <c r="G18" i="23"/>
  <c r="H14" i="23"/>
  <c r="G20" i="23"/>
  <c r="G12" i="23"/>
  <c r="H20" i="23"/>
  <c r="G10" i="23"/>
  <c r="H18" i="23"/>
  <c r="H12" i="23"/>
  <c r="H10" i="23"/>
  <c r="G16" i="23"/>
  <c r="H15" i="23"/>
  <c r="Q10" i="25"/>
  <c r="Q16" i="25"/>
  <c r="F12" i="22"/>
  <c r="F10" i="22"/>
  <c r="F16" i="22"/>
  <c r="K22" i="22"/>
  <c r="K16" i="26"/>
  <c r="H27" i="15"/>
  <c r="P16" i="26"/>
  <c r="V32" i="16"/>
  <c r="R14" i="26"/>
  <c r="G28" i="26"/>
  <c r="P14" i="26"/>
  <c r="N32" i="26"/>
  <c r="J29" i="26"/>
  <c r="H24" i="26"/>
  <c r="K26" i="22"/>
  <c r="V16" i="19"/>
  <c r="L17" i="25"/>
  <c r="L22" i="22"/>
  <c r="K18" i="25"/>
  <c r="V21" i="17"/>
  <c r="P25" i="15"/>
  <c r="V20" i="15"/>
  <c r="H23" i="14"/>
  <c r="V33" i="14"/>
  <c r="V11" i="18"/>
  <c r="V16" i="18"/>
  <c r="V35" i="18"/>
  <c r="H11" i="18"/>
  <c r="H31" i="19"/>
  <c r="V38" i="17"/>
  <c r="H40" i="17"/>
  <c r="V38" i="18"/>
  <c r="V37" i="16"/>
  <c r="V15" i="19"/>
  <c r="H22" i="22"/>
  <c r="I24" i="22"/>
  <c r="I12" i="25"/>
  <c r="F18" i="26"/>
  <c r="R26" i="26"/>
  <c r="T22" i="26"/>
  <c r="P21" i="17"/>
  <c r="G24" i="26"/>
  <c r="P12" i="26"/>
  <c r="U21" i="26"/>
  <c r="S24" i="25"/>
  <c r="L15" i="26"/>
  <c r="V28" i="24"/>
  <c r="L21" i="22"/>
  <c r="L16" i="25"/>
  <c r="V26" i="15"/>
  <c r="V14" i="17"/>
  <c r="H22" i="14"/>
  <c r="V22" i="18"/>
  <c r="H19" i="17"/>
  <c r="H13" i="18"/>
  <c r="H25" i="18"/>
  <c r="P36" i="14"/>
  <c r="V38" i="16"/>
  <c r="H26" i="22"/>
  <c r="J24" i="22"/>
  <c r="U10" i="24"/>
  <c r="T22" i="25"/>
  <c r="L39" i="17"/>
  <c r="H26" i="26"/>
  <c r="P24" i="26"/>
  <c r="P10" i="26"/>
  <c r="M31" i="26"/>
  <c r="T24" i="25"/>
  <c r="T21" i="25"/>
  <c r="L26" i="26"/>
  <c r="V14" i="16"/>
  <c r="V42" i="18"/>
  <c r="L15" i="25"/>
  <c r="V24" i="17"/>
  <c r="V24" i="15"/>
  <c r="V10" i="14"/>
  <c r="T23" i="14"/>
  <c r="U22" i="16"/>
  <c r="V25" i="16" s="1"/>
  <c r="H21" i="17"/>
  <c r="H15" i="18"/>
  <c r="V19" i="19"/>
  <c r="L16" i="22"/>
  <c r="G26" i="23"/>
  <c r="U12" i="24"/>
  <c r="I14" i="25"/>
  <c r="F28" i="26"/>
  <c r="K31" i="26"/>
  <c r="R28" i="26"/>
  <c r="R29" i="26" s="1"/>
  <c r="L27" i="18"/>
  <c r="V41" i="14"/>
  <c r="S29" i="25"/>
  <c r="Q32" i="26"/>
  <c r="Q12" i="26"/>
  <c r="R10" i="26"/>
  <c r="P21" i="26"/>
  <c r="O26" i="26"/>
  <c r="O18" i="26"/>
  <c r="M20" i="26"/>
  <c r="K24" i="26"/>
  <c r="H22" i="26"/>
  <c r="V24" i="25"/>
  <c r="S22" i="25"/>
  <c r="L22" i="26"/>
  <c r="E26" i="23"/>
  <c r="P22" i="16"/>
  <c r="V18" i="18"/>
  <c r="V17" i="17"/>
  <c r="V35" i="17"/>
  <c r="H22" i="16"/>
  <c r="V29" i="18"/>
  <c r="P11" i="17"/>
  <c r="T15" i="18"/>
  <c r="V10" i="19"/>
  <c r="V20" i="19"/>
  <c r="I26" i="22"/>
  <c r="I16" i="25"/>
  <c r="K10" i="26"/>
  <c r="L14" i="26"/>
  <c r="H21" i="23"/>
  <c r="H15" i="17"/>
  <c r="U32" i="24"/>
  <c r="Q10" i="26"/>
  <c r="O14" i="26"/>
  <c r="P20" i="26"/>
  <c r="M10" i="26"/>
  <c r="K26" i="26"/>
  <c r="L29" i="26"/>
  <c r="F22" i="26"/>
  <c r="U17" i="25"/>
  <c r="H26" i="23"/>
  <c r="V15" i="18"/>
  <c r="H27" i="1"/>
  <c r="L25" i="15"/>
  <c r="L23" i="14"/>
  <c r="U22" i="14"/>
  <c r="V22" i="14" s="1"/>
  <c r="V35" i="14"/>
  <c r="E23" i="16"/>
  <c r="L23" i="16"/>
  <c r="P13" i="17"/>
  <c r="T13" i="18"/>
  <c r="V36" i="14"/>
  <c r="U14" i="24"/>
  <c r="U30" i="24"/>
  <c r="F26" i="26"/>
  <c r="K12" i="26"/>
  <c r="K18" i="26"/>
  <c r="V25" i="14"/>
  <c r="V27" i="16"/>
  <c r="V23" i="16"/>
  <c r="V22" i="16"/>
  <c r="V31" i="16"/>
  <c r="V40" i="1"/>
  <c r="H40" i="1"/>
  <c r="R32" i="26"/>
  <c r="V35" i="16"/>
  <c r="L22" i="16"/>
  <c r="V35" i="15"/>
  <c r="V33" i="15"/>
  <c r="S23" i="14"/>
  <c r="V13" i="14"/>
  <c r="P23" i="14"/>
  <c r="T14" i="26"/>
  <c r="T10" i="26"/>
  <c r="T18" i="26"/>
  <c r="H29" i="26"/>
  <c r="Q30" i="26"/>
  <c r="S14" i="26"/>
  <c r="T16" i="26"/>
  <c r="Q14" i="26"/>
  <c r="Q20" i="26"/>
  <c r="G29" i="26"/>
  <c r="P29" i="26"/>
  <c r="M32" i="26"/>
  <c r="V26" i="25"/>
  <c r="V14" i="14"/>
  <c r="R23" i="16"/>
  <c r="V16" i="14"/>
  <c r="V14" i="1"/>
  <c r="V22" i="1"/>
  <c r="V13" i="17"/>
  <c r="V26" i="17"/>
  <c r="V30" i="1"/>
  <c r="V31" i="1"/>
  <c r="V16" i="1"/>
  <c r="V11" i="15"/>
  <c r="E23" i="14"/>
  <c r="Q23" i="14"/>
  <c r="L22" i="14"/>
  <c r="V11" i="16"/>
  <c r="V20" i="16"/>
  <c r="T23" i="16"/>
  <c r="V33" i="16"/>
  <c r="V40" i="18"/>
  <c r="H40" i="18"/>
  <c r="H39" i="15"/>
  <c r="V12" i="19"/>
  <c r="V13" i="19"/>
  <c r="F14" i="22"/>
  <c r="F18" i="22"/>
  <c r="F20" i="22"/>
  <c r="K26" i="25"/>
  <c r="K22" i="25"/>
  <c r="S14" i="25"/>
  <c r="S18" i="25"/>
  <c r="S31" i="25"/>
  <c r="S20" i="25"/>
  <c r="S10" i="25"/>
  <c r="G15" i="26"/>
  <c r="U33" i="19"/>
  <c r="V33" i="19" s="1"/>
  <c r="H16" i="23"/>
  <c r="E18" i="23"/>
  <c r="E10" i="23"/>
  <c r="E20" i="23"/>
  <c r="E16" i="23"/>
  <c r="E12" i="23"/>
  <c r="K10" i="25"/>
  <c r="K16" i="25"/>
  <c r="K12" i="25"/>
  <c r="L21" i="25"/>
  <c r="K24" i="25"/>
  <c r="Q18" i="25"/>
  <c r="F31" i="26"/>
  <c r="F20" i="26"/>
  <c r="F16" i="26"/>
  <c r="F14" i="26"/>
  <c r="F12" i="26"/>
  <c r="I29" i="26"/>
  <c r="M23" i="16"/>
  <c r="V13" i="16"/>
  <c r="V39" i="14"/>
  <c r="V38" i="14"/>
  <c r="V37" i="14"/>
  <c r="V36" i="16"/>
  <c r="H36" i="16"/>
  <c r="V41" i="17"/>
  <c r="V43" i="17" s="1"/>
  <c r="V42" i="17"/>
  <c r="E15" i="22"/>
  <c r="H17" i="22"/>
  <c r="I24" i="25"/>
  <c r="L24" i="25"/>
  <c r="I22" i="25"/>
  <c r="L26" i="25"/>
  <c r="R15" i="25"/>
  <c r="R18" i="25" s="1"/>
  <c r="E15" i="26"/>
  <c r="E18" i="26" s="1"/>
  <c r="U17" i="26"/>
  <c r="V21" i="1"/>
  <c r="V25" i="1"/>
  <c r="V13" i="1"/>
  <c r="V17" i="1"/>
  <c r="T22" i="16"/>
  <c r="V23" i="15"/>
  <c r="V27" i="1"/>
  <c r="V19" i="1"/>
  <c r="V13" i="18"/>
  <c r="V27" i="18"/>
  <c r="V25" i="18"/>
  <c r="V43" i="16"/>
  <c r="V42" i="16"/>
  <c r="V29" i="19"/>
  <c r="V31" i="19"/>
  <c r="V30" i="19"/>
  <c r="L24" i="22"/>
  <c r="L26" i="22"/>
  <c r="L22" i="25"/>
  <c r="Q31" i="25"/>
  <c r="Q14" i="25"/>
  <c r="S12" i="25"/>
  <c r="T12" i="25" s="1"/>
  <c r="Q20" i="25"/>
  <c r="T29" i="25"/>
  <c r="Q29" i="25"/>
  <c r="J31" i="26"/>
  <c r="L16" i="26"/>
  <c r="L20" i="26"/>
  <c r="L10" i="26"/>
  <c r="J16" i="26"/>
  <c r="L18" i="26"/>
  <c r="S28" i="26"/>
  <c r="U28" i="26" s="1"/>
  <c r="V29" i="26" s="1"/>
  <c r="S24" i="26"/>
  <c r="S26" i="26"/>
  <c r="S22" i="26"/>
  <c r="V31" i="18"/>
  <c r="V42" i="15"/>
  <c r="V42" i="14"/>
  <c r="U22" i="24"/>
  <c r="N22" i="26"/>
  <c r="N24" i="26"/>
  <c r="V23" i="26" s="1"/>
  <c r="T26" i="26"/>
  <c r="V34" i="18"/>
  <c r="H24" i="23"/>
  <c r="V21" i="24"/>
  <c r="V21" i="26"/>
  <c r="H28" i="28"/>
  <c r="H29" i="28"/>
  <c r="F18" i="28"/>
  <c r="H18" i="28" s="1"/>
  <c r="J32" i="28"/>
  <c r="H15" i="28"/>
  <c r="I32" i="28"/>
  <c r="L32" i="28"/>
  <c r="L31" i="28"/>
  <c r="E32" i="28"/>
  <c r="E30" i="28"/>
  <c r="F20" i="28"/>
  <c r="H20" i="28" s="1"/>
  <c r="F31" i="28"/>
  <c r="F32" i="28" s="1"/>
  <c r="F14" i="28"/>
  <c r="H14" i="28" s="1"/>
  <c r="F10" i="28"/>
  <c r="H10" i="28" s="1"/>
  <c r="F16" i="28"/>
  <c r="F12" i="28"/>
  <c r="H12" i="28" s="1"/>
  <c r="H16" i="28"/>
  <c r="V23" i="14" l="1"/>
  <c r="T31" i="26"/>
  <c r="R30" i="26"/>
  <c r="V27" i="14"/>
  <c r="P28" i="26"/>
  <c r="V31" i="14"/>
  <c r="L32" i="26"/>
  <c r="F29" i="26"/>
  <c r="H28" i="26"/>
  <c r="K30" i="26"/>
  <c r="K32" i="26"/>
  <c r="P32" i="26"/>
  <c r="P30" i="26"/>
  <c r="M30" i="26"/>
  <c r="P31" i="26"/>
  <c r="V24" i="26"/>
  <c r="V22" i="26"/>
  <c r="V26" i="26"/>
  <c r="G16" i="26"/>
  <c r="G10" i="26"/>
  <c r="G31" i="26"/>
  <c r="G12" i="26"/>
  <c r="G14" i="26"/>
  <c r="G20" i="26"/>
  <c r="Q30" i="25"/>
  <c r="Q32" i="25"/>
  <c r="R10" i="25"/>
  <c r="T10" i="25" s="1"/>
  <c r="R16" i="25"/>
  <c r="R31" i="25"/>
  <c r="U31" i="25" s="1"/>
  <c r="V32" i="25" s="1"/>
  <c r="U15" i="25"/>
  <c r="R20" i="25"/>
  <c r="T20" i="25" s="1"/>
  <c r="V15" i="25"/>
  <c r="R14" i="25"/>
  <c r="T14" i="25" s="1"/>
  <c r="T16" i="25"/>
  <c r="T15" i="25"/>
  <c r="F32" i="26"/>
  <c r="F30" i="26"/>
  <c r="S29" i="26"/>
  <c r="T28" i="26"/>
  <c r="S30" i="26"/>
  <c r="T30" i="26"/>
  <c r="L30" i="26"/>
  <c r="V28" i="26"/>
  <c r="T29" i="26"/>
  <c r="T18" i="25"/>
  <c r="J32" i="26"/>
  <c r="J30" i="26"/>
  <c r="L31" i="26"/>
  <c r="E14" i="26"/>
  <c r="E31" i="26"/>
  <c r="H20" i="26"/>
  <c r="E10" i="26"/>
  <c r="H16" i="26"/>
  <c r="V15" i="26"/>
  <c r="H12" i="26"/>
  <c r="H14" i="26"/>
  <c r="H10" i="26"/>
  <c r="H15" i="26"/>
  <c r="E20" i="26"/>
  <c r="U15" i="26"/>
  <c r="E12" i="26"/>
  <c r="E16" i="26"/>
  <c r="H18" i="26"/>
  <c r="E20" i="22"/>
  <c r="E18" i="22"/>
  <c r="E16" i="22"/>
  <c r="H16" i="22"/>
  <c r="H10" i="22"/>
  <c r="E12" i="22"/>
  <c r="H14" i="22"/>
  <c r="E10" i="22"/>
  <c r="E14" i="22"/>
  <c r="H20" i="22"/>
  <c r="H18" i="22"/>
  <c r="H12" i="22"/>
  <c r="H15" i="22"/>
  <c r="G18" i="26"/>
  <c r="S32" i="25"/>
  <c r="S30" i="25"/>
  <c r="H31" i="28"/>
  <c r="H32" i="28"/>
  <c r="F30" i="28"/>
  <c r="H30" i="28"/>
  <c r="V10" i="26" l="1"/>
  <c r="V20" i="26"/>
  <c r="V16" i="26"/>
  <c r="V14" i="26"/>
  <c r="V12" i="26"/>
  <c r="R30" i="25"/>
  <c r="R32" i="25"/>
  <c r="T32" i="25"/>
  <c r="T30" i="25"/>
  <c r="G32" i="26"/>
  <c r="G30" i="26"/>
  <c r="E30" i="26"/>
  <c r="H32" i="26"/>
  <c r="E32" i="26"/>
  <c r="H30" i="26"/>
  <c r="V31" i="26"/>
  <c r="U31" i="26"/>
  <c r="H31" i="26"/>
  <c r="V31" i="25"/>
  <c r="V30" i="25"/>
  <c r="V16" i="25"/>
  <c r="V18" i="25"/>
  <c r="V14" i="25"/>
  <c r="V12" i="25"/>
  <c r="V20" i="25"/>
  <c r="V10" i="25"/>
  <c r="V18" i="26"/>
  <c r="T31" i="25"/>
  <c r="L23" i="28"/>
  <c r="U23" i="28"/>
  <c r="I21" i="28"/>
  <c r="I28" i="28" s="1"/>
  <c r="K21" i="28"/>
  <c r="K26" i="28" s="1"/>
  <c r="J21" i="28"/>
  <c r="J26" i="28" s="1"/>
  <c r="J28" i="28"/>
  <c r="J30" i="28" s="1"/>
  <c r="K28" i="28" l="1"/>
  <c r="K30" i="28" s="1"/>
  <c r="V30" i="26"/>
  <c r="V32" i="26"/>
  <c r="L26" i="28"/>
  <c r="J29" i="28"/>
  <c r="U21" i="28"/>
  <c r="V24" i="28" s="1"/>
  <c r="L28" i="28"/>
  <c r="I29" i="28"/>
  <c r="K24" i="28"/>
  <c r="I24" i="28"/>
  <c r="K22" i="28"/>
  <c r="J22" i="28"/>
  <c r="I22" i="28"/>
  <c r="I26" i="28"/>
  <c r="V21" i="28"/>
  <c r="J24" i="28"/>
  <c r="V28" i="28"/>
  <c r="I30" i="28"/>
  <c r="L24" i="28"/>
  <c r="V23" i="28" s="1"/>
  <c r="L21" i="28"/>
  <c r="L22" i="28"/>
  <c r="U28" i="28" l="1"/>
  <c r="V29" i="28" s="1"/>
  <c r="L30" i="28"/>
  <c r="L29" i="28"/>
  <c r="K29" i="28"/>
  <c r="V22" i="28"/>
  <c r="V26" i="28"/>
  <c r="V19" i="28" l="1"/>
  <c r="M15" i="28"/>
  <c r="U19" i="28"/>
  <c r="M20" i="28" l="1"/>
  <c r="P16" i="28"/>
  <c r="P15" i="28"/>
  <c r="P10" i="28"/>
  <c r="P20" i="28"/>
  <c r="P12" i="28"/>
  <c r="P18" i="28"/>
  <c r="M18" i="28"/>
  <c r="M10" i="28"/>
  <c r="M16" i="28"/>
  <c r="P14" i="28"/>
  <c r="M14" i="28"/>
  <c r="M31" i="28"/>
  <c r="M12" i="28"/>
  <c r="U15" i="28"/>
  <c r="V15" i="28"/>
  <c r="M32" i="28" l="1"/>
  <c r="P30" i="28"/>
  <c r="M30" i="28"/>
  <c r="P32" i="28"/>
  <c r="P31" i="28"/>
  <c r="U31" i="28"/>
  <c r="V31" i="28"/>
  <c r="V16" i="28"/>
  <c r="V12" i="28"/>
  <c r="V20" i="28"/>
  <c r="V10" i="28"/>
  <c r="V14" i="28"/>
  <c r="V18" i="28"/>
  <c r="V32" i="28" l="1"/>
  <c r="V30" i="28"/>
  <c r="H23" i="30" l="1"/>
  <c r="V23" i="30"/>
  <c r="E21" i="30"/>
  <c r="U23" i="30"/>
  <c r="H21" i="30" l="1"/>
  <c r="E22" i="30"/>
  <c r="H24" i="30"/>
  <c r="U21" i="30"/>
  <c r="V26" i="30" s="1"/>
  <c r="H22" i="30"/>
  <c r="E26" i="30"/>
  <c r="E28" i="30"/>
  <c r="E29" i="30" s="1"/>
  <c r="E24" i="30"/>
  <c r="V21" i="30"/>
  <c r="H26" i="30"/>
  <c r="V22" i="30" l="1"/>
  <c r="V24" i="30"/>
  <c r="E30" i="30"/>
  <c r="H29" i="30"/>
  <c r="V28" i="30"/>
  <c r="H28" i="30"/>
  <c r="U28" i="30"/>
  <c r="H30" i="30"/>
  <c r="V29" i="30" l="1"/>
  <c r="V30" i="30"/>
  <c r="P23" i="32" l="1"/>
  <c r="M21" i="32"/>
  <c r="M22" i="32" s="1"/>
  <c r="U23" i="32"/>
  <c r="V21" i="32" l="1"/>
  <c r="P21" i="32"/>
  <c r="M28" i="32"/>
  <c r="M29" i="32" s="1"/>
  <c r="P24" i="32"/>
  <c r="P26" i="32"/>
  <c r="U21" i="32"/>
  <c r="M24" i="32"/>
  <c r="V23" i="32" s="1"/>
  <c r="M26" i="32"/>
  <c r="P22" i="32"/>
  <c r="P28" i="32"/>
  <c r="M30" i="32" l="1"/>
  <c r="P30" i="32"/>
  <c r="V28" i="32"/>
  <c r="P29" i="32"/>
  <c r="U28" i="32"/>
  <c r="V26" i="32"/>
  <c r="V22" i="32"/>
  <c r="V24" i="32"/>
  <c r="V30" i="32" l="1"/>
  <c r="V29" i="32"/>
</calcChain>
</file>

<file path=xl/sharedStrings.xml><?xml version="1.0" encoding="utf-8"?>
<sst xmlns="http://schemas.openxmlformats.org/spreadsheetml/2006/main" count="2974" uniqueCount="458">
  <si>
    <t>Departament Systemu Płatniczego</t>
  </si>
  <si>
    <t>Lp.</t>
  </si>
  <si>
    <t>Wyszczególnienie</t>
  </si>
  <si>
    <t>Jedno-</t>
  </si>
  <si>
    <t>stka</t>
  </si>
  <si>
    <t>1.</t>
  </si>
  <si>
    <t>Liczba dni rozliczeniowych</t>
  </si>
  <si>
    <t>2.</t>
  </si>
  <si>
    <t>obroty ogółem</t>
  </si>
  <si>
    <t>mln zł</t>
  </si>
  <si>
    <t>udział w ogólnych obrotach KIR</t>
  </si>
  <si>
    <t>-</t>
  </si>
  <si>
    <t>3.</t>
  </si>
  <si>
    <t>Obroty KIR</t>
  </si>
  <si>
    <t>w tym :</t>
  </si>
  <si>
    <t>średnie dzienne obroty</t>
  </si>
  <si>
    <t>tys.</t>
  </si>
  <si>
    <t>4.</t>
  </si>
  <si>
    <t>liczba oddziałów</t>
  </si>
  <si>
    <t>liczba transakcji ogółem</t>
  </si>
  <si>
    <t>średnia dzienna</t>
  </si>
  <si>
    <t>udział w ogólnej liczbie transakcji</t>
  </si>
  <si>
    <t>średnia kwota transakcji</t>
  </si>
  <si>
    <t>tys. zł</t>
  </si>
  <si>
    <t>5.</t>
  </si>
  <si>
    <t xml:space="preserve">- </t>
  </si>
  <si>
    <t>obroty ogółem:</t>
  </si>
  <si>
    <t xml:space="preserve">Sesje :              </t>
  </si>
  <si>
    <t>ranna</t>
  </si>
  <si>
    <t>popołudniowa</t>
  </si>
  <si>
    <t>wieczorna</t>
  </si>
  <si>
    <t>obciążeniowe</t>
  </si>
  <si>
    <t>uznaniowe</t>
  </si>
  <si>
    <t>6.</t>
  </si>
  <si>
    <t>System ELIXIR</t>
  </si>
  <si>
    <t>System SYBIR</t>
  </si>
  <si>
    <t>pozycje</t>
  </si>
  <si>
    <t>Transakcje KIR</t>
  </si>
  <si>
    <t>średnia dzienna liczba transakcji</t>
  </si>
  <si>
    <t>7.</t>
  </si>
  <si>
    <t xml:space="preserve">Liczba uczestników (z NBP) </t>
  </si>
  <si>
    <t>Narodowy Bank Polski</t>
  </si>
  <si>
    <t>INFORMACJA O UCZESTNIKACH,</t>
  </si>
  <si>
    <t>W 2001 ROKU</t>
  </si>
  <si>
    <t>LICZBIE TRANSAKCJI I WARTOŚCI OBROTÓW W KIR S.A.</t>
  </si>
  <si>
    <t>Średnia miesięczna</t>
  </si>
  <si>
    <t>OGÓŁEM</t>
  </si>
  <si>
    <t>W 1999 ROKU</t>
  </si>
  <si>
    <t>Liczba uczestników (z NBP)</t>
  </si>
  <si>
    <t>liczba pozycji ogółem</t>
  </si>
  <si>
    <t>udział w ogólnej liczbie pozycji</t>
  </si>
  <si>
    <t>W 2000 ROKU</t>
  </si>
  <si>
    <t>W 2002 ROKU</t>
  </si>
  <si>
    <t>W ROKU</t>
  </si>
  <si>
    <t>I KWARTAŁ</t>
  </si>
  <si>
    <t>II KWARTAŁ</t>
  </si>
  <si>
    <t>III KWARTAŁ</t>
  </si>
  <si>
    <t>IV KWARTAŁ</t>
  </si>
  <si>
    <t>ŚREDNIA MIESIĘCZNA</t>
  </si>
  <si>
    <t>I.2002</t>
  </si>
  <si>
    <t>II.2002</t>
  </si>
  <si>
    <t>III.2002</t>
  </si>
  <si>
    <t>IV.2002</t>
  </si>
  <si>
    <t>V.2002</t>
  </si>
  <si>
    <t>VI.2002</t>
  </si>
  <si>
    <t>VII.2002</t>
  </si>
  <si>
    <t>VIII.2002</t>
  </si>
  <si>
    <t>IX.2002</t>
  </si>
  <si>
    <t>X.2002</t>
  </si>
  <si>
    <t>XI.2002</t>
  </si>
  <si>
    <t>XII.2002</t>
  </si>
  <si>
    <t>I.2001</t>
  </si>
  <si>
    <t>II.2001</t>
  </si>
  <si>
    <t>III.2001</t>
  </si>
  <si>
    <t>IV.2001</t>
  </si>
  <si>
    <t>V.2001</t>
  </si>
  <si>
    <t>VI.2001</t>
  </si>
  <si>
    <t>VII.2001</t>
  </si>
  <si>
    <t>VIII.2001</t>
  </si>
  <si>
    <t>IX.2001</t>
  </si>
  <si>
    <t>X.2001</t>
  </si>
  <si>
    <t>XI.2001</t>
  </si>
  <si>
    <t>XII.2001</t>
  </si>
  <si>
    <t>I.2000</t>
  </si>
  <si>
    <t>II.2000</t>
  </si>
  <si>
    <t>III.2000</t>
  </si>
  <si>
    <t>IV.2000</t>
  </si>
  <si>
    <t>V.2000</t>
  </si>
  <si>
    <t>VI.2000</t>
  </si>
  <si>
    <t>VII.2000</t>
  </si>
  <si>
    <t>VIII.2000</t>
  </si>
  <si>
    <t>IX.2000</t>
  </si>
  <si>
    <t>X.2000</t>
  </si>
  <si>
    <t>XI.2000</t>
  </si>
  <si>
    <t>XII.2000</t>
  </si>
  <si>
    <t>I.1999</t>
  </si>
  <si>
    <t>II.1999</t>
  </si>
  <si>
    <t>III.1999</t>
  </si>
  <si>
    <t>IV.1999</t>
  </si>
  <si>
    <t>V.1999</t>
  </si>
  <si>
    <t>VI.1999</t>
  </si>
  <si>
    <t>VII.1999</t>
  </si>
  <si>
    <t>VIII.1999</t>
  </si>
  <si>
    <t>IX.1999</t>
  </si>
  <si>
    <t>X.1999</t>
  </si>
  <si>
    <t>XI.1999</t>
  </si>
  <si>
    <t>XII.1999</t>
  </si>
  <si>
    <t>I.2004</t>
  </si>
  <si>
    <t>II.2004</t>
  </si>
  <si>
    <t>III.2004</t>
  </si>
  <si>
    <t>IV.2004</t>
  </si>
  <si>
    <t>V.2004</t>
  </si>
  <si>
    <t>VI.2004</t>
  </si>
  <si>
    <t>VII.2004</t>
  </si>
  <si>
    <t>VIII.2004</t>
  </si>
  <si>
    <t>IX.2004</t>
  </si>
  <si>
    <t>X.2004</t>
  </si>
  <si>
    <t>XI.2004</t>
  </si>
  <si>
    <t>XII.2004</t>
  </si>
  <si>
    <t>W 2004 ROKU</t>
  </si>
  <si>
    <t>W 2003 ROKU</t>
  </si>
  <si>
    <t>I.2003</t>
  </si>
  <si>
    <t>II.2003</t>
  </si>
  <si>
    <t>III.2003</t>
  </si>
  <si>
    <t>IV.2003</t>
  </si>
  <si>
    <t>V.2003</t>
  </si>
  <si>
    <t>VI.2003</t>
  </si>
  <si>
    <t>VII.2003</t>
  </si>
  <si>
    <t>VIII.2003</t>
  </si>
  <si>
    <t>IX.2003</t>
  </si>
  <si>
    <t>X.2003</t>
  </si>
  <si>
    <t>XI.2003</t>
  </si>
  <si>
    <t>XII.2003</t>
  </si>
  <si>
    <t>I.2005</t>
  </si>
  <si>
    <t>II.2005</t>
  </si>
  <si>
    <t>III.2005</t>
  </si>
  <si>
    <t>obroty ogółem (uznania)</t>
  </si>
  <si>
    <t>W 2005 ROKU</t>
  </si>
  <si>
    <t>W 2006 ROKU</t>
  </si>
  <si>
    <t>I.2006</t>
  </si>
  <si>
    <t>II.2006</t>
  </si>
  <si>
    <t>III.2006</t>
  </si>
  <si>
    <t>IV.2006</t>
  </si>
  <si>
    <t>IV.2005</t>
  </si>
  <si>
    <t>V.2005</t>
  </si>
  <si>
    <t>VI.2005</t>
  </si>
  <si>
    <t>VII.2005</t>
  </si>
  <si>
    <t>VIII.2005</t>
  </si>
  <si>
    <t>IX.2005</t>
  </si>
  <si>
    <t>X.2005</t>
  </si>
  <si>
    <t>XI.2005</t>
  </si>
  <si>
    <t>XII.2005</t>
  </si>
  <si>
    <t>V.2006</t>
  </si>
  <si>
    <t>VI.2006</t>
  </si>
  <si>
    <t>VII.2006</t>
  </si>
  <si>
    <t>VIII.2006</t>
  </si>
  <si>
    <t>IX.2006</t>
  </si>
  <si>
    <t>X.2006</t>
  </si>
  <si>
    <t>XI.2006</t>
  </si>
  <si>
    <t>XII.2006</t>
  </si>
  <si>
    <t>2006 Q1</t>
  </si>
  <si>
    <t>2006 Q2</t>
  </si>
  <si>
    <t>2006 Q3</t>
  </si>
  <si>
    <t>2006 Q4</t>
  </si>
  <si>
    <t>W 2007 ROKU</t>
  </si>
  <si>
    <t>I.2007</t>
  </si>
  <si>
    <t>II.2007</t>
  </si>
  <si>
    <t>III.2007</t>
  </si>
  <si>
    <t>2007 Q1</t>
  </si>
  <si>
    <t>IV.2007</t>
  </si>
  <si>
    <t>V.2007</t>
  </si>
  <si>
    <t>VI.2007</t>
  </si>
  <si>
    <t>2007 Q2</t>
  </si>
  <si>
    <t>VII.2007</t>
  </si>
  <si>
    <t>VIII.2007</t>
  </si>
  <si>
    <t>IX.2007</t>
  </si>
  <si>
    <t>2007 Q3</t>
  </si>
  <si>
    <t>X.2007</t>
  </si>
  <si>
    <t>XI.2007</t>
  </si>
  <si>
    <t>XII.2007</t>
  </si>
  <si>
    <t>2007 Q4</t>
  </si>
  <si>
    <r>
      <t xml:space="preserve">obroty ogółem </t>
    </r>
    <r>
      <rPr>
        <b/>
        <sz val="13"/>
        <rFont val="Arial CE"/>
        <charset val="238"/>
      </rPr>
      <t>(uznania)</t>
    </r>
  </si>
  <si>
    <t xml:space="preserve"> -</t>
  </si>
  <si>
    <t>I.2008</t>
  </si>
  <si>
    <t>II.2008</t>
  </si>
  <si>
    <t>III.2008</t>
  </si>
  <si>
    <t>2008 Q1</t>
  </si>
  <si>
    <t>IV.2008</t>
  </si>
  <si>
    <t>V.2008</t>
  </si>
  <si>
    <t>VI.2008</t>
  </si>
  <si>
    <t>2008 Q2</t>
  </si>
  <si>
    <t>VII.2008</t>
  </si>
  <si>
    <t>VIII.2008</t>
  </si>
  <si>
    <t>IX.2008</t>
  </si>
  <si>
    <t>2008 Q3</t>
  </si>
  <si>
    <t>X.2008</t>
  </si>
  <si>
    <t>XI.2008</t>
  </si>
  <si>
    <t>XII.2008</t>
  </si>
  <si>
    <t>2008 Q4</t>
  </si>
  <si>
    <t>I.2009</t>
  </si>
  <si>
    <t>II.2009</t>
  </si>
  <si>
    <t>III.2009</t>
  </si>
  <si>
    <t>2009 Q1</t>
  </si>
  <si>
    <t>IV.2009</t>
  </si>
  <si>
    <t>V.2009</t>
  </si>
  <si>
    <t>VI.2009</t>
  </si>
  <si>
    <t>2009 Q2</t>
  </si>
  <si>
    <t>VII.2009</t>
  </si>
  <si>
    <t>VIII.2009</t>
  </si>
  <si>
    <t>IX.2009</t>
  </si>
  <si>
    <t>2009 Q3</t>
  </si>
  <si>
    <t>X.2009</t>
  </si>
  <si>
    <t>XI.2009</t>
  </si>
  <si>
    <t>XII.2009</t>
  </si>
  <si>
    <t>2009 Q4</t>
  </si>
  <si>
    <t>I.2010</t>
  </si>
  <si>
    <t>II.2010</t>
  </si>
  <si>
    <t>III.2010</t>
  </si>
  <si>
    <t>2010 Q1</t>
  </si>
  <si>
    <t>zł</t>
  </si>
  <si>
    <t>IV.20010</t>
  </si>
  <si>
    <t>V.2010</t>
  </si>
  <si>
    <t>VI.2010</t>
  </si>
  <si>
    <t>2010 Q2</t>
  </si>
  <si>
    <t>VII.2010</t>
  </si>
  <si>
    <t>VIII.2010</t>
  </si>
  <si>
    <t>IX.2010</t>
  </si>
  <si>
    <t>2010 Q3</t>
  </si>
  <si>
    <t>X.2010</t>
  </si>
  <si>
    <t>XI.2010</t>
  </si>
  <si>
    <t>XII.2010</t>
  </si>
  <si>
    <t>2010 Q4</t>
  </si>
  <si>
    <t>LICZBIE TRANSAKCJI I WARTOŚCI OBROTÓW W KIR S.A.  W 2010 ROKU</t>
  </si>
  <si>
    <t>LICZBIE TRANSAKCJI I WARTOŚCI OBROTÓW W KIR S.A.  W 2009 ROKU</t>
  </si>
  <si>
    <t>LICZBIE TRANSAKCJI I WARTOŚCI OBROTÓW W KIR S.A.  W  2008 ROKU</t>
  </si>
  <si>
    <t>LICZBIE TRANSAKCJI I WARTOŚCI OBROTÓW W KIR S.A.  W 2011 ROKU</t>
  </si>
  <si>
    <t>I.2011</t>
  </si>
  <si>
    <t>II.2011</t>
  </si>
  <si>
    <t>III.2011</t>
  </si>
  <si>
    <t>2011 Q1</t>
  </si>
  <si>
    <t>IV.2011</t>
  </si>
  <si>
    <t>V.2011</t>
  </si>
  <si>
    <t>VI.2011</t>
  </si>
  <si>
    <t>2011 Q2</t>
  </si>
  <si>
    <t>VII.2011</t>
  </si>
  <si>
    <t>VIII.2011</t>
  </si>
  <si>
    <t>IX.2011</t>
  </si>
  <si>
    <t>2011 Q3</t>
  </si>
  <si>
    <t>X.2011</t>
  </si>
  <si>
    <t>XI.2011</t>
  </si>
  <si>
    <t>XII.2011</t>
  </si>
  <si>
    <t>2011 Q4</t>
  </si>
  <si>
    <t>LICZBIE TRANSAKCJI I WARTOŚCI OBROTÓW W KIR S.A.  W 2012 ROKU</t>
  </si>
  <si>
    <t>I.2012</t>
  </si>
  <si>
    <t>II.2012</t>
  </si>
  <si>
    <t>III.2012</t>
  </si>
  <si>
    <t>2012 Q1</t>
  </si>
  <si>
    <t>IV.2012</t>
  </si>
  <si>
    <t>V.2012</t>
  </si>
  <si>
    <t>VI.2012</t>
  </si>
  <si>
    <t>2012 Q2</t>
  </si>
  <si>
    <t>VII.2012</t>
  </si>
  <si>
    <t>VIII.2012</t>
  </si>
  <si>
    <t>IX.2012</t>
  </si>
  <si>
    <t>2012 Q3</t>
  </si>
  <si>
    <t>X.2012</t>
  </si>
  <si>
    <t>XI.2012</t>
  </si>
  <si>
    <t>XII.2012</t>
  </si>
  <si>
    <t>2012 Q4</t>
  </si>
  <si>
    <t>I.2013</t>
  </si>
  <si>
    <t>II.2013</t>
  </si>
  <si>
    <t>III.2013</t>
  </si>
  <si>
    <t>2013 Q1</t>
  </si>
  <si>
    <t>IV.2013</t>
  </si>
  <si>
    <t>V.2013</t>
  </si>
  <si>
    <t>VI.2013</t>
  </si>
  <si>
    <t>2013 Q2</t>
  </si>
  <si>
    <t>VII.2013</t>
  </si>
  <si>
    <t>VIII.2013</t>
  </si>
  <si>
    <t>IX.2013</t>
  </si>
  <si>
    <t>2013 Q3</t>
  </si>
  <si>
    <t>X.2013</t>
  </si>
  <si>
    <t>XI.2013</t>
  </si>
  <si>
    <t>XII.2013</t>
  </si>
  <si>
    <t>2013 Q4</t>
  </si>
  <si>
    <t>LICZBIE TRANSAKCJI I WARTOŚCI OBROTÓW W KIR S.A. W 2014 ROKU</t>
  </si>
  <si>
    <t>I.2014</t>
  </si>
  <si>
    <t>II.2014</t>
  </si>
  <si>
    <t>III.2014</t>
  </si>
  <si>
    <t>2014 Q1</t>
  </si>
  <si>
    <t>IV.2014</t>
  </si>
  <si>
    <t>V.2014</t>
  </si>
  <si>
    <t>VI.2014</t>
  </si>
  <si>
    <t>2014 Q2</t>
  </si>
  <si>
    <t>VII.2014</t>
  </si>
  <si>
    <t>VIII.2014</t>
  </si>
  <si>
    <t>IX.2014</t>
  </si>
  <si>
    <t>2014 Q3</t>
  </si>
  <si>
    <t>X.2014</t>
  </si>
  <si>
    <t>XI.2014</t>
  </si>
  <si>
    <t>XII.2014</t>
  </si>
  <si>
    <t>2014 Q4</t>
  </si>
  <si>
    <t>LICZBIE TRANSAKCJI I WARTOŚCI OBROTÓW W KIR S.A. W 2016 ROKU</t>
  </si>
  <si>
    <t>I.2016</t>
  </si>
  <si>
    <t>II.2016</t>
  </si>
  <si>
    <t>III.2016</t>
  </si>
  <si>
    <t>2016 Q1</t>
  </si>
  <si>
    <t>IV.2016</t>
  </si>
  <si>
    <t>V.2016</t>
  </si>
  <si>
    <t>VI.2016</t>
  </si>
  <si>
    <t>2016 Q2</t>
  </si>
  <si>
    <t>VII.2016</t>
  </si>
  <si>
    <t>VIII.2016</t>
  </si>
  <si>
    <t>IX.2016</t>
  </si>
  <si>
    <t>2016 Q3</t>
  </si>
  <si>
    <t>X.2016</t>
  </si>
  <si>
    <t>XI.2016</t>
  </si>
  <si>
    <t>XII.2016</t>
  </si>
  <si>
    <t>2016 Q4</t>
  </si>
  <si>
    <t>LICZBIE TRANSAKCJI I WARTOŚCI OBROTÓW W KIR S.A. W 2015 ROKU</t>
  </si>
  <si>
    <t>I.2015</t>
  </si>
  <si>
    <t>II.2015</t>
  </si>
  <si>
    <t>III.2015</t>
  </si>
  <si>
    <t>2015 Q1</t>
  </si>
  <si>
    <t>IV.2015</t>
  </si>
  <si>
    <t>V.2015</t>
  </si>
  <si>
    <t>VI.2015</t>
  </si>
  <si>
    <t>2015 Q2</t>
  </si>
  <si>
    <t>VII.2015</t>
  </si>
  <si>
    <t>VIII.2015</t>
  </si>
  <si>
    <t>IX.2015</t>
  </si>
  <si>
    <t>2015 Q3</t>
  </si>
  <si>
    <t>X.2015</t>
  </si>
  <si>
    <t>XI.2015</t>
  </si>
  <si>
    <t>XII.2015</t>
  </si>
  <si>
    <t>2015 Q4</t>
  </si>
  <si>
    <t>LICZBIE TRANSAKCJI I WARTOŚCI OBROTÓW W KIR S.A. W 2018 ROKU</t>
  </si>
  <si>
    <t>I.2018</t>
  </si>
  <si>
    <t>II.2018</t>
  </si>
  <si>
    <t>III.2018</t>
  </si>
  <si>
    <t>2018 Q1</t>
  </si>
  <si>
    <t>IV.2018</t>
  </si>
  <si>
    <t>V.2018</t>
  </si>
  <si>
    <t>VI.2018</t>
  </si>
  <si>
    <t>2018 Q2</t>
  </si>
  <si>
    <t>VII.2018</t>
  </si>
  <si>
    <t>VIII.2018</t>
  </si>
  <si>
    <t>IX.2018</t>
  </si>
  <si>
    <t>2018 Q3</t>
  </si>
  <si>
    <t>X.2018</t>
  </si>
  <si>
    <t>XI.2018</t>
  </si>
  <si>
    <t>XII.2018</t>
  </si>
  <si>
    <t>2018 Q4</t>
  </si>
  <si>
    <t>I.2017</t>
  </si>
  <si>
    <t>II.2017</t>
  </si>
  <si>
    <t>III.2017</t>
  </si>
  <si>
    <t>2017 Q1</t>
  </si>
  <si>
    <t>IV.2017</t>
  </si>
  <si>
    <t>V.2017</t>
  </si>
  <si>
    <t>VI.2017</t>
  </si>
  <si>
    <t>2017 Q2</t>
  </si>
  <si>
    <t>VII.2017</t>
  </si>
  <si>
    <t>VIII.2017</t>
  </si>
  <si>
    <t>IX.2017</t>
  </si>
  <si>
    <t>2017 Q3</t>
  </si>
  <si>
    <t>X.2017</t>
  </si>
  <si>
    <t>XI.2017</t>
  </si>
  <si>
    <t>XII.2017</t>
  </si>
  <si>
    <t>2017 Q4</t>
  </si>
  <si>
    <t>LICZBIE TRANSAKCJI I WARTOŚCI OBROTÓW W KIR S.A. W 2017 ROKU</t>
  </si>
  <si>
    <t>LICZBIE TRANSAKCJI I WARTOŚCI OBROTÓW W KIR S.A. W 2019 ROKU</t>
  </si>
  <si>
    <t>I.2019</t>
  </si>
  <si>
    <t>II.2019</t>
  </si>
  <si>
    <t>III.2019</t>
  </si>
  <si>
    <t>2019 Q1</t>
  </si>
  <si>
    <t>IV.2019</t>
  </si>
  <si>
    <t>V.2019</t>
  </si>
  <si>
    <t>VI.2019</t>
  </si>
  <si>
    <t>2019 Q2</t>
  </si>
  <si>
    <t>VII.2019</t>
  </si>
  <si>
    <t>VIII.2019</t>
  </si>
  <si>
    <t>IX.2019</t>
  </si>
  <si>
    <t>2019 Q3</t>
  </si>
  <si>
    <t>X.2019</t>
  </si>
  <si>
    <t>XI.2019</t>
  </si>
  <si>
    <t>XII.2019</t>
  </si>
  <si>
    <t>2019 Q4</t>
  </si>
  <si>
    <t xml:space="preserve"> Od lipca 2019 r. w liczbie oddziałów ogółem zostali ujęci pośredni uczestnicy zewnętrzni</t>
  </si>
  <si>
    <t>2020 Q1</t>
  </si>
  <si>
    <t>2020 Q2</t>
  </si>
  <si>
    <t>2020 Q3</t>
  </si>
  <si>
    <t>2020 Q4</t>
  </si>
  <si>
    <t xml:space="preserve"> Od lipca 2020 r. w liczbie oddziałów ogółem zostali ujęci pośredni uczestnicy zewnętrzni</t>
  </si>
  <si>
    <t>I.2021</t>
  </si>
  <si>
    <t>II.2021</t>
  </si>
  <si>
    <t>III.2021</t>
  </si>
  <si>
    <t>IV.2021</t>
  </si>
  <si>
    <t>V.2021</t>
  </si>
  <si>
    <t>VI.2021</t>
  </si>
  <si>
    <t>VII.2021</t>
  </si>
  <si>
    <t>VIII.2021</t>
  </si>
  <si>
    <t>IX.2021</t>
  </si>
  <si>
    <t>X.2021</t>
  </si>
  <si>
    <t>XI.2021</t>
  </si>
  <si>
    <t>XII.2021</t>
  </si>
  <si>
    <t>LICZBIE TRANSAKCJI I WARTOŚCI OBROTÓW W KIR S.A. W 2021 ROKU</t>
  </si>
  <si>
    <t>2021 Q1</t>
  </si>
  <si>
    <t>LICZBIE TRANSAKCJI I WARTOŚCI OBROTÓW W KIR S.A. W 2020 ROKU</t>
  </si>
  <si>
    <t>I.2020</t>
  </si>
  <si>
    <t>II.2020</t>
  </si>
  <si>
    <t>III.2020</t>
  </si>
  <si>
    <t>IV.2020</t>
  </si>
  <si>
    <t>V.2020</t>
  </si>
  <si>
    <t>VI.2020</t>
  </si>
  <si>
    <t>VII.2020</t>
  </si>
  <si>
    <t>VIII.2020</t>
  </si>
  <si>
    <t>IX.2020</t>
  </si>
  <si>
    <t>X.2020</t>
  </si>
  <si>
    <t>XI.2020</t>
  </si>
  <si>
    <t>XII.2020</t>
  </si>
  <si>
    <t xml:space="preserve"> </t>
  </si>
  <si>
    <t>2021 Q2</t>
  </si>
  <si>
    <t>2021 Q3</t>
  </si>
  <si>
    <t>2021 Q4</t>
  </si>
  <si>
    <t>LICZBIE TRANSAKCJI I WARTOŚCI OBROTÓW W KIR S.A. W 2022 ROKU</t>
  </si>
  <si>
    <t>I.2022</t>
  </si>
  <si>
    <t>II.2022</t>
  </si>
  <si>
    <t>III.2022</t>
  </si>
  <si>
    <t>2022 Q1</t>
  </si>
  <si>
    <t>IV.2022</t>
  </si>
  <si>
    <t>V.2022</t>
  </si>
  <si>
    <t>VI.2022</t>
  </si>
  <si>
    <t>2022 Q2</t>
  </si>
  <si>
    <t>VII.2022</t>
  </si>
  <si>
    <t>VIII.2022</t>
  </si>
  <si>
    <t>IX.2022</t>
  </si>
  <si>
    <t>2022 Q3</t>
  </si>
  <si>
    <t>X.2022</t>
  </si>
  <si>
    <t>XI.2022</t>
  </si>
  <si>
    <t>XII.2022</t>
  </si>
  <si>
    <t>2022 Q4</t>
  </si>
  <si>
    <t>I.2023</t>
  </si>
  <si>
    <t>II.2023</t>
  </si>
  <si>
    <t>III.2023</t>
  </si>
  <si>
    <t>IV.2023</t>
  </si>
  <si>
    <t>V.2023</t>
  </si>
  <si>
    <t>VI.2023</t>
  </si>
  <si>
    <t>VII.2023</t>
  </si>
  <si>
    <t>VIII.2023</t>
  </si>
  <si>
    <t>IX.2023</t>
  </si>
  <si>
    <t>X.2023</t>
  </si>
  <si>
    <t>XI.2023</t>
  </si>
  <si>
    <t>XII.2023</t>
  </si>
  <si>
    <t>LICZBIE TRANSAKCJI I WARTOŚCI OBROTÓW W KIR S.A. W 2023 ROKU</t>
  </si>
  <si>
    <t>2023 Q1</t>
  </si>
  <si>
    <t>2023 Q2</t>
  </si>
  <si>
    <t>2023 Q3</t>
  </si>
  <si>
    <t>2023 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</si>
</sst>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z_ł_-;\-* #,##0.00\ _z_ł_-;_-* &quot;-&quot;??\ _z_ł_-;_-@_-"/>
    <numFmt numFmtId="165" formatCode="#,##0.0"/>
    <numFmt numFmtId="166" formatCode="0.0%"/>
    <numFmt numFmtId="167" formatCode="#,##0.000"/>
  </numFmts>
  <fonts count="38" x14ac:knownFonts="1">
    <font>
      <sz val="9"/>
      <name val="Arial CE"/>
      <charset val="238"/>
    </font>
    <font>
      <sz val="10"/>
      <color theme="1"/>
      <name val="Arial"/>
      <family val="2"/>
      <charset val="238"/>
    </font>
    <font>
      <sz val="9"/>
      <name val="Arial CE"/>
      <charset val="238"/>
    </font>
    <font>
      <sz val="14"/>
      <name val="Arial CE"/>
      <family val="2"/>
      <charset val="238"/>
    </font>
    <font>
      <sz val="12"/>
      <name val="Arial CE"/>
      <family val="2"/>
      <charset val="238"/>
    </font>
    <font>
      <b/>
      <sz val="14"/>
      <name val="Arial CE"/>
      <family val="2"/>
      <charset val="238"/>
    </font>
    <font>
      <b/>
      <sz val="16"/>
      <name val="Arial CE"/>
      <family val="2"/>
      <charset val="238"/>
    </font>
    <font>
      <sz val="13"/>
      <name val="Arial CE"/>
      <family val="2"/>
      <charset val="238"/>
    </font>
    <font>
      <b/>
      <sz val="14"/>
      <name val="Arial CE"/>
      <charset val="238"/>
    </font>
    <font>
      <b/>
      <sz val="13"/>
      <name val="Arial CE"/>
      <charset val="238"/>
    </font>
    <font>
      <sz val="14"/>
      <name val="Arial CE"/>
      <charset val="238"/>
    </font>
    <font>
      <sz val="13"/>
      <name val="Arial CE"/>
      <charset val="238"/>
    </font>
    <font>
      <sz val="12"/>
      <name val="Arial CE"/>
      <charset val="238"/>
    </font>
    <font>
      <b/>
      <sz val="11"/>
      <name val="Arial CE"/>
      <family val="2"/>
      <charset val="238"/>
    </font>
    <font>
      <sz val="9"/>
      <color indexed="10"/>
      <name val="Arial CE"/>
      <charset val="238"/>
    </font>
    <font>
      <sz val="9"/>
      <color indexed="10"/>
      <name val="Arial CE"/>
      <family val="2"/>
      <charset val="238"/>
    </font>
    <font>
      <sz val="8"/>
      <name val="Arial CE"/>
      <charset val="238"/>
    </font>
    <font>
      <sz val="9"/>
      <name val="Arial CE"/>
      <family val="2"/>
      <charset val="238"/>
    </font>
    <font>
      <sz val="14"/>
      <color indexed="8"/>
      <name val="Arial CE"/>
      <family val="2"/>
      <charset val="238"/>
    </font>
    <font>
      <b/>
      <sz val="14"/>
      <color indexed="8"/>
      <name val="Arial CE"/>
      <family val="2"/>
      <charset val="238"/>
    </font>
    <font>
      <sz val="14"/>
      <color indexed="10"/>
      <name val="Arial CE"/>
      <family val="2"/>
      <charset val="238"/>
    </font>
    <font>
      <b/>
      <sz val="14"/>
      <color indexed="10"/>
      <name val="Arial CE"/>
      <family val="2"/>
      <charset val="238"/>
    </font>
    <font>
      <sz val="9"/>
      <name val="Arial CE"/>
      <charset val="238"/>
    </font>
    <font>
      <sz val="12"/>
      <color indexed="10"/>
      <name val="Arial CE"/>
      <family val="2"/>
      <charset val="238"/>
    </font>
    <font>
      <sz val="13"/>
      <color theme="0" tint="-4.9989318521683403E-2"/>
      <name val="Arial CE"/>
      <family val="2"/>
      <charset val="238"/>
    </font>
    <font>
      <sz val="12"/>
      <color theme="0" tint="-4.9989318521683403E-2"/>
      <name val="Arial CE"/>
      <family val="2"/>
      <charset val="238"/>
    </font>
    <font>
      <b/>
      <sz val="16"/>
      <color theme="0" tint="-4.9989318521683403E-2"/>
      <name val="Arial CE"/>
      <family val="2"/>
      <charset val="238"/>
    </font>
    <font>
      <b/>
      <sz val="11"/>
      <color theme="0" tint="-4.9989318521683403E-2"/>
      <name val="Arial CE"/>
      <family val="2"/>
      <charset val="238"/>
    </font>
    <font>
      <b/>
      <sz val="14"/>
      <color theme="0" tint="-4.9989318521683403E-2"/>
      <name val="Arial CE"/>
      <family val="2"/>
      <charset val="238"/>
    </font>
    <font>
      <sz val="14"/>
      <color theme="0" tint="-4.9989318521683403E-2"/>
      <name val="Arial CE"/>
      <family val="2"/>
      <charset val="238"/>
    </font>
    <font>
      <sz val="10"/>
      <name val="Arial"/>
      <family val="2"/>
      <charset val="238"/>
    </font>
    <font>
      <sz val="13"/>
      <color theme="0"/>
      <name val="Arial CE"/>
      <charset val="238"/>
    </font>
    <font>
      <sz val="12"/>
      <color theme="0"/>
      <name val="Arial CE"/>
      <charset val="238"/>
    </font>
    <font>
      <b/>
      <sz val="16"/>
      <color theme="0"/>
      <name val="Arial CE"/>
      <charset val="238"/>
    </font>
    <font>
      <b/>
      <sz val="11"/>
      <color theme="0"/>
      <name val="Arial CE"/>
      <charset val="238"/>
    </font>
    <font>
      <b/>
      <sz val="14"/>
      <color theme="0"/>
      <name val="Arial CE"/>
      <charset val="238"/>
    </font>
    <font>
      <sz val="14"/>
      <color theme="0"/>
      <name val="Arial CE"/>
      <charset val="238"/>
    </font>
    <font>
      <sz val="9"/>
      <color theme="1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E6E8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A70"/>
        <bgColor indexed="64"/>
      </patternFill>
    </fill>
    <fill>
      <patternFill patternType="solid">
        <fgColor rgb="FFB4DCDC"/>
        <bgColor indexed="64"/>
      </patternFill>
    </fill>
    <fill>
      <patternFill patternType="solid">
        <fgColor rgb="FFB4B9B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52E52"/>
        <bgColor indexed="64"/>
      </patternFill>
    </fill>
  </fills>
  <borders count="105">
    <border>
      <left/>
      <right/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/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ott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uble">
        <color indexed="64"/>
      </left>
      <right style="dashed">
        <color indexed="64"/>
      </right>
      <top/>
      <bottom style="double">
        <color indexed="64"/>
      </bottom>
      <diagonal/>
    </border>
    <border>
      <left style="double">
        <color indexed="64"/>
      </left>
      <right style="dashed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ashed">
        <color indexed="64"/>
      </right>
      <top style="double">
        <color indexed="64"/>
      </top>
      <bottom/>
      <diagonal/>
    </border>
    <border>
      <left style="double">
        <color indexed="64"/>
      </left>
      <right style="dashed">
        <color indexed="64"/>
      </right>
      <top/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/>
      <right style="thin">
        <color indexed="8"/>
      </right>
      <top/>
      <bottom style="dotted">
        <color indexed="8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ashed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8"/>
      </top>
      <bottom/>
      <diagonal/>
    </border>
    <border>
      <left style="dotted">
        <color indexed="64"/>
      </left>
      <right style="dashed">
        <color indexed="64"/>
      </right>
      <top style="dotted">
        <color indexed="8"/>
      </top>
      <bottom/>
      <diagonal/>
    </border>
    <border>
      <left style="dotted">
        <color indexed="8"/>
      </left>
      <right style="dotted">
        <color indexed="8"/>
      </right>
      <top style="dotted">
        <color indexed="64"/>
      </top>
      <bottom/>
      <diagonal/>
    </border>
    <border>
      <left style="dotted">
        <color indexed="8"/>
      </left>
      <right style="dashed">
        <color indexed="64"/>
      </right>
      <top style="dotted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uble">
        <color indexed="64"/>
      </right>
      <top style="dotted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8"/>
      </bottom>
      <diagonal/>
    </border>
    <border>
      <left style="dotted">
        <color indexed="64"/>
      </left>
      <right style="dashed">
        <color indexed="64"/>
      </right>
      <top/>
      <bottom/>
      <diagonal/>
    </border>
    <border>
      <left style="dotted">
        <color indexed="64"/>
      </left>
      <right style="dashed">
        <color indexed="64"/>
      </right>
      <top/>
      <bottom style="dotted">
        <color indexed="64"/>
      </bottom>
      <diagonal/>
    </border>
    <border>
      <left style="medium">
        <color rgb="FF007A70"/>
      </left>
      <right style="medium">
        <color rgb="FF007A70"/>
      </right>
      <top/>
      <bottom/>
      <diagonal/>
    </border>
    <border>
      <left style="medium">
        <color rgb="FF007A70"/>
      </left>
      <right style="medium">
        <color rgb="FF007A70"/>
      </right>
      <top/>
      <bottom style="medium">
        <color rgb="FF007A70"/>
      </bottom>
      <diagonal/>
    </border>
    <border>
      <left style="medium">
        <color rgb="FF007070"/>
      </left>
      <right style="medium">
        <color rgb="FF007070"/>
      </right>
      <top/>
      <bottom style="medium">
        <color rgb="FF007070"/>
      </bottom>
      <diagonal/>
    </border>
    <border>
      <left style="medium">
        <color rgb="FF007070"/>
      </left>
      <right style="medium">
        <color rgb="FF007070"/>
      </right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medium">
        <color theme="0"/>
      </top>
      <bottom style="double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rgb="FF007A70"/>
      </left>
      <right/>
      <top/>
      <bottom/>
      <diagonal/>
    </border>
    <border>
      <left/>
      <right style="medium">
        <color rgb="FF007070"/>
      </right>
      <top/>
      <bottom/>
      <diagonal/>
    </border>
    <border>
      <left style="thin">
        <color theme="0"/>
      </left>
      <right/>
      <top style="double">
        <color indexed="64"/>
      </top>
      <bottom/>
      <diagonal/>
    </border>
    <border>
      <left/>
      <right style="thin">
        <color theme="0"/>
      </right>
      <top style="double">
        <color indexed="64"/>
      </top>
      <bottom/>
      <diagonal/>
    </border>
    <border>
      <left style="thin">
        <color theme="0"/>
      </left>
      <right/>
      <top/>
      <bottom style="double">
        <color indexed="64"/>
      </bottom>
      <diagonal/>
    </border>
    <border>
      <left/>
      <right style="thin">
        <color theme="0"/>
      </right>
      <top/>
      <bottom style="double">
        <color indexed="64"/>
      </bottom>
      <diagonal/>
    </border>
    <border>
      <left style="thin">
        <color theme="0"/>
      </left>
      <right style="medium">
        <color theme="0" tint="-0.499984740745262"/>
      </right>
      <top/>
      <bottom/>
      <diagonal/>
    </border>
    <border>
      <left style="thin">
        <color rgb="FF007070"/>
      </left>
      <right style="thin">
        <color rgb="FF007070"/>
      </right>
      <top/>
      <bottom style="thin">
        <color rgb="FF007070"/>
      </bottom>
      <diagonal/>
    </border>
    <border>
      <left style="thin">
        <color rgb="FF007070"/>
      </left>
      <right style="thin">
        <color rgb="FF007070"/>
      </right>
      <top/>
      <bottom/>
      <diagonal/>
    </border>
    <border>
      <left style="thin">
        <color rgb="FF007A70"/>
      </left>
      <right style="thin">
        <color rgb="FF007A70"/>
      </right>
      <top/>
      <bottom style="thin">
        <color rgb="FF007A70"/>
      </bottom>
      <diagonal/>
    </border>
    <border>
      <left style="thin">
        <color rgb="FF007A70"/>
      </left>
      <right style="thin">
        <color rgb="FF007A70"/>
      </right>
      <top/>
      <bottom/>
      <diagonal/>
    </border>
    <border>
      <left style="thin">
        <color rgb="FF007A70"/>
      </left>
      <right/>
      <top/>
      <bottom style="thin">
        <color rgb="FF007A70"/>
      </bottom>
      <diagonal/>
    </border>
    <border>
      <left style="medium">
        <color rgb="FF007070"/>
      </left>
      <right style="medium">
        <color rgb="FF007070"/>
      </right>
      <top/>
      <bottom style="thin">
        <color rgb="FF007A70"/>
      </bottom>
      <diagonal/>
    </border>
    <border>
      <left/>
      <right/>
      <top/>
      <bottom style="thin">
        <color rgb="FF007A70"/>
      </bottom>
      <diagonal/>
    </border>
    <border>
      <left style="medium">
        <color rgb="FF007A70"/>
      </left>
      <right style="medium">
        <color rgb="FF007A70"/>
      </right>
      <top/>
      <bottom style="thin">
        <color rgb="FF007A70"/>
      </bottom>
      <diagonal/>
    </border>
    <border>
      <left style="thin">
        <color rgb="FF007070"/>
      </left>
      <right/>
      <top/>
      <bottom style="thin">
        <color rgb="FF007070"/>
      </bottom>
      <diagonal/>
    </border>
    <border>
      <left/>
      <right/>
      <top/>
      <bottom style="thin">
        <color rgb="FF007070"/>
      </bottom>
      <diagonal/>
    </border>
    <border>
      <left style="medium">
        <color rgb="FF007070"/>
      </left>
      <right style="medium">
        <color rgb="FF007070"/>
      </right>
      <top/>
      <bottom style="thin">
        <color rgb="FF007070"/>
      </bottom>
      <diagonal/>
    </border>
    <border>
      <left style="medium">
        <color rgb="FF007A70"/>
      </left>
      <right style="medium">
        <color rgb="FF007A70"/>
      </right>
      <top/>
      <bottom style="thin">
        <color rgb="FF007070"/>
      </bottom>
      <diagonal/>
    </border>
    <border>
      <left/>
      <right/>
      <top style="thin">
        <color rgb="FF007070"/>
      </top>
      <bottom/>
      <diagonal/>
    </border>
    <border>
      <left/>
      <right style="thin">
        <color rgb="FF007A70"/>
      </right>
      <top/>
      <bottom/>
      <diagonal/>
    </border>
    <border>
      <left style="thin">
        <color rgb="FF152E52"/>
      </left>
      <right style="thin">
        <color rgb="FF152E52"/>
      </right>
      <top/>
      <bottom style="thin">
        <color rgb="FF152E52"/>
      </bottom>
      <diagonal/>
    </border>
    <border>
      <left/>
      <right style="thin">
        <color rgb="FF007070"/>
      </right>
      <top/>
      <bottom/>
      <diagonal/>
    </border>
    <border>
      <left style="thin">
        <color rgb="FF152E52"/>
      </left>
      <right style="thin">
        <color rgb="FF152E52"/>
      </right>
      <top/>
      <bottom/>
      <diagonal/>
    </border>
    <border>
      <left style="thin">
        <color rgb="FF007070"/>
      </left>
      <right/>
      <top/>
      <bottom/>
      <diagonal/>
    </border>
    <border>
      <left style="medium">
        <color rgb="FF152E52"/>
      </left>
      <right style="medium">
        <color rgb="FF152E52"/>
      </right>
      <top/>
      <bottom style="thin">
        <color rgb="FF152E52"/>
      </bottom>
      <diagonal/>
    </border>
    <border>
      <left style="medium">
        <color rgb="FF152E52"/>
      </left>
      <right style="medium">
        <color rgb="FF152E52"/>
      </right>
      <top/>
      <bottom/>
      <diagonal/>
    </border>
    <border>
      <left/>
      <right/>
      <top/>
      <bottom style="thin">
        <color rgb="FF152E52"/>
      </bottom>
      <diagonal/>
    </border>
  </borders>
  <cellStyleXfs count="7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5" borderId="0" applyNumberFormat="0" applyFont="0" applyBorder="0" applyAlignment="0" applyProtection="0"/>
    <xf numFmtId="0" fontId="2" fillId="6" borderId="0" applyNumberFormat="0" applyFont="0" applyBorder="0" applyAlignment="0" applyProtection="0"/>
    <xf numFmtId="0" fontId="2" fillId="3" borderId="0" applyNumberFormat="0" applyFont="0" applyBorder="0" applyAlignment="0" applyProtection="0"/>
    <xf numFmtId="0" fontId="2" fillId="7" borderId="0" applyNumberFormat="0" applyFont="0" applyBorder="0" applyAlignment="0" applyProtection="0"/>
  </cellStyleXfs>
  <cellXfs count="999">
    <xf numFmtId="0" fontId="0" fillId="0" borderId="0" xfId="0"/>
    <xf numFmtId="164" fontId="7" fillId="0" borderId="1" xfId="1" applyFont="1" applyFill="1" applyBorder="1" applyAlignment="1">
      <alignment vertical="center"/>
    </xf>
    <xf numFmtId="164" fontId="7" fillId="0" borderId="0" xfId="1" applyFont="1" applyFill="1" applyBorder="1" applyAlignment="1">
      <alignment vertical="center"/>
    </xf>
    <xf numFmtId="0" fontId="0" fillId="0" borderId="0" xfId="0" applyFill="1"/>
    <xf numFmtId="0" fontId="5" fillId="0" borderId="0" xfId="0" applyFont="1" applyFill="1" applyAlignment="1">
      <alignment horizontal="centerContinuous"/>
    </xf>
    <xf numFmtId="0" fontId="3" fillId="0" borderId="0" xfId="0" applyFont="1" applyFill="1" applyAlignment="1">
      <alignment horizontal="centerContinuous"/>
    </xf>
    <xf numFmtId="0" fontId="0" fillId="0" borderId="0" xfId="0" applyFill="1" applyAlignment="1">
      <alignment horizontal="centerContinuous"/>
    </xf>
    <xf numFmtId="0" fontId="5" fillId="0" borderId="0" xfId="0" applyFont="1" applyFill="1" applyAlignment="1">
      <alignment horizontal="centerContinuous" vertical="top"/>
    </xf>
    <xf numFmtId="16" fontId="0" fillId="0" borderId="0" xfId="0" applyNumberFormat="1" applyFill="1"/>
    <xf numFmtId="164" fontId="7" fillId="0" borderId="2" xfId="1" applyFont="1" applyFill="1" applyBorder="1" applyAlignment="1">
      <alignment horizontal="right" vertical="top"/>
    </xf>
    <xf numFmtId="164" fontId="7" fillId="0" borderId="2" xfId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164" fontId="7" fillId="0" borderId="3" xfId="1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164" fontId="7" fillId="0" borderId="5" xfId="1" applyFont="1" applyFill="1" applyBorder="1" applyAlignment="1">
      <alignment vertical="center" wrapText="1"/>
    </xf>
    <xf numFmtId="164" fontId="7" fillId="0" borderId="2" xfId="1" applyFont="1" applyFill="1" applyBorder="1" applyAlignment="1">
      <alignment horizontal="right"/>
    </xf>
    <xf numFmtId="0" fontId="5" fillId="0" borderId="5" xfId="0" applyFont="1" applyFill="1" applyBorder="1" applyAlignment="1">
      <alignment horizontal="center" vertical="top" shrinkToFit="1"/>
    </xf>
    <xf numFmtId="0" fontId="12" fillId="0" borderId="0" xfId="0" applyFont="1" applyFill="1"/>
    <xf numFmtId="0" fontId="10" fillId="0" borderId="0" xfId="0" applyFont="1" applyFill="1"/>
    <xf numFmtId="0" fontId="5" fillId="0" borderId="6" xfId="0" applyFont="1" applyFill="1" applyBorder="1" applyAlignment="1">
      <alignment horizontal="center" vertical="top" shrinkToFit="1"/>
    </xf>
    <xf numFmtId="164" fontId="7" fillId="0" borderId="0" xfId="1" applyFont="1" applyFill="1" applyBorder="1" applyAlignment="1">
      <alignment vertical="top"/>
    </xf>
    <xf numFmtId="164" fontId="7" fillId="0" borderId="0" xfId="1" applyFont="1" applyFill="1" applyBorder="1" applyAlignment="1">
      <alignment vertical="top" wrapText="1"/>
    </xf>
    <xf numFmtId="164" fontId="7" fillId="0" borderId="7" xfId="1" applyFont="1" applyFill="1" applyBorder="1" applyAlignment="1">
      <alignment vertical="top" wrapText="1"/>
    </xf>
    <xf numFmtId="164" fontId="7" fillId="0" borderId="0" xfId="1" applyFont="1" applyFill="1" applyBorder="1" applyAlignment="1"/>
    <xf numFmtId="164" fontId="7" fillId="0" borderId="8" xfId="1" applyFont="1" applyFill="1" applyBorder="1" applyAlignment="1"/>
    <xf numFmtId="0" fontId="0" fillId="0" borderId="0" xfId="0" applyFill="1" applyAlignment="1">
      <alignment vertical="top"/>
    </xf>
    <xf numFmtId="164" fontId="7" fillId="0" borderId="7" xfId="1" applyFont="1" applyFill="1" applyBorder="1" applyAlignment="1">
      <alignment vertical="top"/>
    </xf>
    <xf numFmtId="0" fontId="0" fillId="0" borderId="0" xfId="0" applyFill="1" applyAlignment="1"/>
    <xf numFmtId="16" fontId="0" fillId="0" borderId="0" xfId="0" applyNumberFormat="1" applyFill="1" applyAlignment="1">
      <alignment vertical="top"/>
    </xf>
    <xf numFmtId="164" fontId="7" fillId="0" borderId="9" xfId="1" applyFont="1" applyFill="1" applyBorder="1" applyAlignment="1">
      <alignment vertical="center"/>
    </xf>
    <xf numFmtId="164" fontId="7" fillId="0" borderId="10" xfId="1" applyFont="1" applyFill="1" applyBorder="1" applyAlignment="1"/>
    <xf numFmtId="164" fontId="7" fillId="0" borderId="5" xfId="1" applyFont="1" applyFill="1" applyBorder="1" applyAlignment="1">
      <alignment vertical="top" wrapText="1"/>
    </xf>
    <xf numFmtId="164" fontId="7" fillId="0" borderId="4" xfId="1" applyFont="1" applyFill="1" applyBorder="1" applyAlignment="1">
      <alignment horizontal="right" vertical="top"/>
    </xf>
    <xf numFmtId="164" fontId="7" fillId="0" borderId="5" xfId="1" applyFont="1" applyFill="1" applyBorder="1" applyAlignment="1">
      <alignment vertical="top"/>
    </xf>
    <xf numFmtId="0" fontId="5" fillId="0" borderId="11" xfId="0" applyFont="1" applyFill="1" applyBorder="1" applyAlignment="1">
      <alignment horizontal="center" shrinkToFit="1"/>
    </xf>
    <xf numFmtId="0" fontId="5" fillId="0" borderId="12" xfId="0" applyFont="1" applyFill="1" applyBorder="1" applyAlignment="1">
      <alignment horizontal="center" vertical="top" shrinkToFit="1"/>
    </xf>
    <xf numFmtId="0" fontId="10" fillId="0" borderId="13" xfId="0" quotePrefix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10" fillId="0" borderId="13" xfId="0" applyFont="1" applyFill="1" applyBorder="1" applyAlignment="1">
      <alignment horizontal="center" vertical="center"/>
    </xf>
    <xf numFmtId="1" fontId="10" fillId="0" borderId="14" xfId="0" applyNumberFormat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165" fontId="10" fillId="0" borderId="1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center" vertical="top"/>
    </xf>
    <xf numFmtId="166" fontId="10" fillId="0" borderId="0" xfId="2" applyNumberFormat="1" applyFont="1" applyFill="1" applyBorder="1" applyAlignment="1">
      <alignment horizontal="center" vertical="top"/>
    </xf>
    <xf numFmtId="165" fontId="10" fillId="0" borderId="8" xfId="0" applyNumberFormat="1" applyFont="1" applyFill="1" applyBorder="1" applyAlignment="1">
      <alignment horizontal="center"/>
    </xf>
    <xf numFmtId="166" fontId="10" fillId="0" borderId="7" xfId="2" applyNumberFormat="1" applyFont="1" applyFill="1" applyBorder="1" applyAlignment="1">
      <alignment horizontal="center" vertical="top"/>
    </xf>
    <xf numFmtId="165" fontId="10" fillId="0" borderId="0" xfId="0" applyNumberFormat="1" applyFont="1" applyFill="1" applyBorder="1" applyAlignment="1">
      <alignment horizontal="center"/>
    </xf>
    <xf numFmtId="166" fontId="10" fillId="0" borderId="5" xfId="2" applyNumberFormat="1" applyFont="1" applyFill="1" applyBorder="1" applyAlignment="1">
      <alignment horizontal="center" vertical="top"/>
    </xf>
    <xf numFmtId="165" fontId="10" fillId="0" borderId="7" xfId="0" applyNumberFormat="1" applyFont="1" applyFill="1" applyBorder="1" applyAlignment="1">
      <alignment horizontal="center" vertical="center"/>
    </xf>
    <xf numFmtId="165" fontId="10" fillId="0" borderId="16" xfId="0" applyNumberFormat="1" applyFont="1" applyFill="1" applyBorder="1" applyAlignment="1">
      <alignment horizontal="center" vertical="center"/>
    </xf>
    <xf numFmtId="165" fontId="10" fillId="0" borderId="0" xfId="0" applyNumberFormat="1" applyFont="1" applyFill="1" applyBorder="1" applyAlignment="1">
      <alignment horizontal="center" vertical="center"/>
    </xf>
    <xf numFmtId="166" fontId="10" fillId="0" borderId="0" xfId="2" applyNumberFormat="1" applyFont="1" applyFill="1" applyBorder="1" applyAlignment="1">
      <alignment horizontal="center" vertical="center"/>
    </xf>
    <xf numFmtId="166" fontId="10" fillId="0" borderId="5" xfId="2" applyNumberFormat="1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top" shrinkToFit="1"/>
    </xf>
    <xf numFmtId="0" fontId="10" fillId="0" borderId="18" xfId="0" applyFont="1" applyFill="1" applyBorder="1" applyAlignment="1">
      <alignment horizontal="center" vertical="center"/>
    </xf>
    <xf numFmtId="165" fontId="10" fillId="0" borderId="19" xfId="0" applyNumberFormat="1" applyFont="1" applyFill="1" applyBorder="1" applyAlignment="1">
      <alignment horizontal="center"/>
    </xf>
    <xf numFmtId="166" fontId="10" fillId="0" borderId="20" xfId="2" applyNumberFormat="1" applyFont="1" applyFill="1" applyBorder="1" applyAlignment="1">
      <alignment horizontal="center" vertical="top"/>
    </xf>
    <xf numFmtId="165" fontId="10" fillId="0" borderId="21" xfId="0" applyNumberFormat="1" applyFont="1" applyFill="1" applyBorder="1" applyAlignment="1">
      <alignment horizontal="center"/>
    </xf>
    <xf numFmtId="166" fontId="10" fillId="0" borderId="22" xfId="2" applyNumberFormat="1" applyFont="1" applyFill="1" applyBorder="1" applyAlignment="1">
      <alignment horizontal="center" vertical="top"/>
    </xf>
    <xf numFmtId="165" fontId="10" fillId="0" borderId="20" xfId="0" applyNumberFormat="1" applyFont="1" applyFill="1" applyBorder="1" applyAlignment="1">
      <alignment horizontal="center"/>
    </xf>
    <xf numFmtId="166" fontId="10" fillId="0" borderId="17" xfId="2" applyNumberFormat="1" applyFont="1" applyFill="1" applyBorder="1" applyAlignment="1">
      <alignment horizontal="center" vertical="top"/>
    </xf>
    <xf numFmtId="165" fontId="10" fillId="0" borderId="22" xfId="0" applyNumberFormat="1" applyFont="1" applyFill="1" applyBorder="1" applyAlignment="1">
      <alignment horizontal="center" vertical="center"/>
    </xf>
    <xf numFmtId="165" fontId="10" fillId="0" borderId="23" xfId="0" applyNumberFormat="1" applyFont="1" applyFill="1" applyBorder="1" applyAlignment="1">
      <alignment horizontal="center" vertical="center"/>
    </xf>
    <xf numFmtId="165" fontId="10" fillId="0" borderId="20" xfId="0" applyNumberFormat="1" applyFont="1" applyFill="1" applyBorder="1" applyAlignment="1">
      <alignment horizontal="center" vertical="center"/>
    </xf>
    <xf numFmtId="166" fontId="10" fillId="0" borderId="20" xfId="2" applyNumberFormat="1" applyFont="1" applyFill="1" applyBorder="1" applyAlignment="1">
      <alignment horizontal="center" vertical="center"/>
    </xf>
    <xf numFmtId="166" fontId="10" fillId="0" borderId="17" xfId="2" applyNumberFormat="1" applyFont="1" applyFill="1" applyBorder="1" applyAlignment="1">
      <alignment horizontal="center" vertical="center"/>
    </xf>
    <xf numFmtId="1" fontId="10" fillId="2" borderId="18" xfId="0" applyNumberFormat="1" applyFont="1" applyFill="1" applyBorder="1" applyAlignment="1">
      <alignment horizontal="center" vertical="center"/>
    </xf>
    <xf numFmtId="165" fontId="10" fillId="2" borderId="19" xfId="0" applyNumberFormat="1" applyFont="1" applyFill="1" applyBorder="1" applyAlignment="1">
      <alignment horizontal="center"/>
    </xf>
    <xf numFmtId="166" fontId="10" fillId="2" borderId="20" xfId="2" applyNumberFormat="1" applyFont="1" applyFill="1" applyBorder="1" applyAlignment="1">
      <alignment horizontal="center" vertical="top"/>
    </xf>
    <xf numFmtId="166" fontId="10" fillId="0" borderId="20" xfId="0" applyNumberFormat="1" applyFont="1" applyFill="1" applyBorder="1" applyAlignment="1">
      <alignment horizontal="center" vertical="top"/>
    </xf>
    <xf numFmtId="165" fontId="10" fillId="2" borderId="21" xfId="0" applyNumberFormat="1" applyFont="1" applyFill="1" applyBorder="1" applyAlignment="1">
      <alignment horizontal="center"/>
    </xf>
    <xf numFmtId="166" fontId="10" fillId="2" borderId="22" xfId="2" applyNumberFormat="1" applyFont="1" applyFill="1" applyBorder="1" applyAlignment="1">
      <alignment horizontal="center" vertical="top"/>
    </xf>
    <xf numFmtId="166" fontId="10" fillId="0" borderId="22" xfId="0" applyNumberFormat="1" applyFont="1" applyFill="1" applyBorder="1" applyAlignment="1">
      <alignment horizontal="center" vertical="top"/>
    </xf>
    <xf numFmtId="165" fontId="10" fillId="2" borderId="20" xfId="0" applyNumberFormat="1" applyFont="1" applyFill="1" applyBorder="1" applyAlignment="1">
      <alignment horizontal="center"/>
    </xf>
    <xf numFmtId="166" fontId="10" fillId="2" borderId="17" xfId="2" applyNumberFormat="1" applyFont="1" applyFill="1" applyBorder="1" applyAlignment="1">
      <alignment horizontal="center" vertical="top"/>
    </xf>
    <xf numFmtId="166" fontId="10" fillId="0" borderId="17" xfId="0" applyNumberFormat="1" applyFont="1" applyFill="1" applyBorder="1" applyAlignment="1">
      <alignment horizontal="center" vertical="top"/>
    </xf>
    <xf numFmtId="165" fontId="10" fillId="2" borderId="22" xfId="0" applyNumberFormat="1" applyFont="1" applyFill="1" applyBorder="1" applyAlignment="1">
      <alignment horizontal="center" vertical="center"/>
    </xf>
    <xf numFmtId="165" fontId="10" fillId="2" borderId="23" xfId="0" applyNumberFormat="1" applyFont="1" applyFill="1" applyBorder="1" applyAlignment="1">
      <alignment horizontal="center" vertical="center"/>
    </xf>
    <xf numFmtId="165" fontId="10" fillId="2" borderId="20" xfId="0" applyNumberFormat="1" applyFont="1" applyFill="1" applyBorder="1" applyAlignment="1">
      <alignment horizontal="center" vertical="center"/>
    </xf>
    <xf numFmtId="166" fontId="10" fillId="2" borderId="20" xfId="2" applyNumberFormat="1" applyFont="1" applyFill="1" applyBorder="1" applyAlignment="1">
      <alignment horizontal="center" vertical="center"/>
    </xf>
    <xf numFmtId="166" fontId="10" fillId="0" borderId="20" xfId="0" applyNumberFormat="1" applyFont="1" applyFill="1" applyBorder="1" applyAlignment="1">
      <alignment horizontal="center" vertical="center"/>
    </xf>
    <xf numFmtId="165" fontId="10" fillId="0" borderId="22" xfId="2" applyNumberFormat="1" applyFont="1" applyFill="1" applyBorder="1" applyAlignment="1">
      <alignment horizontal="center" vertical="center"/>
    </xf>
    <xf numFmtId="166" fontId="10" fillId="2" borderId="17" xfId="2" applyNumberFormat="1" applyFont="1" applyFill="1" applyBorder="1" applyAlignment="1">
      <alignment horizontal="center" vertical="center"/>
    </xf>
    <xf numFmtId="166" fontId="10" fillId="0" borderId="17" xfId="0" applyNumberFormat="1" applyFont="1" applyFill="1" applyBorder="1" applyAlignment="1">
      <alignment horizontal="center" vertical="center"/>
    </xf>
    <xf numFmtId="165" fontId="10" fillId="2" borderId="22" xfId="2" applyNumberFormat="1" applyFont="1" applyFill="1" applyBorder="1" applyAlignment="1">
      <alignment horizontal="center" vertical="center"/>
    </xf>
    <xf numFmtId="164" fontId="7" fillId="0" borderId="1" xfId="1" applyFont="1" applyFill="1" applyBorder="1" applyAlignment="1"/>
    <xf numFmtId="164" fontId="7" fillId="0" borderId="24" xfId="1" applyFont="1" applyFill="1" applyBorder="1" applyAlignment="1"/>
    <xf numFmtId="0" fontId="4" fillId="0" borderId="19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 vertical="top"/>
    </xf>
    <xf numFmtId="0" fontId="0" fillId="0" borderId="18" xfId="0" applyFill="1" applyBorder="1" applyAlignment="1">
      <alignment vertic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 vertical="top"/>
    </xf>
    <xf numFmtId="0" fontId="3" fillId="0" borderId="21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 vertical="top"/>
    </xf>
    <xf numFmtId="0" fontId="3" fillId="0" borderId="2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top"/>
    </xf>
    <xf numFmtId="0" fontId="3" fillId="0" borderId="19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7" fillId="0" borderId="25" xfId="0" applyFont="1" applyFill="1" applyBorder="1"/>
    <xf numFmtId="0" fontId="7" fillId="0" borderId="26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/>
    </xf>
    <xf numFmtId="0" fontId="7" fillId="0" borderId="28" xfId="0" applyFont="1" applyFill="1" applyBorder="1" applyAlignment="1">
      <alignment horizontal="center" vertical="top"/>
    </xf>
    <xf numFmtId="0" fontId="7" fillId="0" borderId="25" xfId="0" applyFont="1" applyFill="1" applyBorder="1" applyAlignment="1">
      <alignment horizontal="center" vertical="top"/>
    </xf>
    <xf numFmtId="0" fontId="7" fillId="0" borderId="28" xfId="0" applyFont="1" applyFill="1" applyBorder="1" applyAlignment="1">
      <alignment vertical="center"/>
    </xf>
    <xf numFmtId="0" fontId="7" fillId="0" borderId="25" xfId="0" applyFont="1" applyFill="1" applyBorder="1" applyAlignment="1">
      <alignment vertical="center"/>
    </xf>
    <xf numFmtId="0" fontId="11" fillId="0" borderId="27" xfId="0" applyFont="1" applyFill="1" applyBorder="1" applyAlignment="1">
      <alignment horizontal="center"/>
    </xf>
    <xf numFmtId="164" fontId="9" fillId="0" borderId="29" xfId="1" applyFont="1" applyFill="1" applyBorder="1" applyAlignment="1">
      <alignment vertical="center"/>
    </xf>
    <xf numFmtId="164" fontId="9" fillId="0" borderId="10" xfId="1" applyFont="1" applyFill="1" applyBorder="1" applyAlignment="1">
      <alignment vertical="center"/>
    </xf>
    <xf numFmtId="0" fontId="8" fillId="0" borderId="19" xfId="0" applyFont="1" applyFill="1" applyBorder="1" applyAlignment="1">
      <alignment horizontal="center" vertical="center"/>
    </xf>
    <xf numFmtId="165" fontId="8" fillId="0" borderId="10" xfId="0" applyNumberFormat="1" applyFont="1" applyFill="1" applyBorder="1" applyAlignment="1">
      <alignment horizontal="center" vertical="center"/>
    </xf>
    <xf numFmtId="165" fontId="8" fillId="0" borderId="19" xfId="0" applyNumberFormat="1" applyFont="1" applyFill="1" applyBorder="1" applyAlignment="1">
      <alignment horizontal="center" vertical="center"/>
    </xf>
    <xf numFmtId="165" fontId="8" fillId="2" borderId="19" xfId="0" applyNumberFormat="1" applyFont="1" applyFill="1" applyBorder="1" applyAlignment="1">
      <alignment horizontal="center" vertical="center"/>
    </xf>
    <xf numFmtId="164" fontId="9" fillId="0" borderId="0" xfId="1" applyFont="1" applyFill="1" applyBorder="1" applyAlignment="1">
      <alignment vertical="center"/>
    </xf>
    <xf numFmtId="0" fontId="8" fillId="0" borderId="20" xfId="0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center" vertical="center"/>
    </xf>
    <xf numFmtId="165" fontId="8" fillId="0" borderId="20" xfId="0" applyNumberFormat="1" applyFont="1" applyFill="1" applyBorder="1" applyAlignment="1">
      <alignment horizontal="center" vertical="center"/>
    </xf>
    <xf numFmtId="165" fontId="8" fillId="2" borderId="20" xfId="0" applyNumberFormat="1" applyFont="1" applyFill="1" applyBorder="1" applyAlignment="1">
      <alignment horizontal="center" vertical="center"/>
    </xf>
    <xf numFmtId="164" fontId="9" fillId="0" borderId="24" xfId="1" applyFont="1" applyFill="1" applyBorder="1" applyAlignment="1">
      <alignment vertical="center"/>
    </xf>
    <xf numFmtId="0" fontId="8" fillId="0" borderId="21" xfId="0" applyFont="1" applyFill="1" applyBorder="1" applyAlignment="1">
      <alignment horizontal="center" vertical="center"/>
    </xf>
    <xf numFmtId="165" fontId="8" fillId="0" borderId="8" xfId="0" applyNumberFormat="1" applyFont="1" applyFill="1" applyBorder="1" applyAlignment="1">
      <alignment horizontal="center" vertical="center"/>
    </xf>
    <xf numFmtId="165" fontId="8" fillId="0" borderId="21" xfId="0" applyNumberFormat="1" applyFont="1" applyFill="1" applyBorder="1" applyAlignment="1">
      <alignment horizontal="center" vertical="center"/>
    </xf>
    <xf numFmtId="165" fontId="8" fillId="2" borderId="21" xfId="0" applyNumberFormat="1" applyFont="1" applyFill="1" applyBorder="1" applyAlignment="1">
      <alignment horizontal="center" vertical="center"/>
    </xf>
    <xf numFmtId="164" fontId="9" fillId="0" borderId="29" xfId="1" applyFont="1" applyFill="1" applyBorder="1" applyAlignment="1">
      <alignment horizontal="left" vertical="center"/>
    </xf>
    <xf numFmtId="164" fontId="9" fillId="0" borderId="2" xfId="1" applyFont="1" applyFill="1" applyBorder="1" applyAlignment="1">
      <alignment horizontal="right" vertical="top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 applyAlignment="1">
      <alignment horizontal="centerContinuous" vertical="center"/>
    </xf>
    <xf numFmtId="0" fontId="0" fillId="0" borderId="0" xfId="0" applyFill="1" applyAlignment="1">
      <alignment horizontal="centerContinuous" vertical="center"/>
    </xf>
    <xf numFmtId="0" fontId="0" fillId="0" borderId="0" xfId="0" applyFill="1" applyAlignment="1">
      <alignment vertical="center"/>
    </xf>
    <xf numFmtId="0" fontId="0" fillId="0" borderId="0" xfId="0" applyFill="1" applyBorder="1"/>
    <xf numFmtId="0" fontId="12" fillId="2" borderId="17" xfId="0" applyFont="1" applyFill="1" applyBorder="1" applyAlignment="1">
      <alignment horizontal="center" vertical="top" wrapText="1"/>
    </xf>
    <xf numFmtId="0" fontId="10" fillId="0" borderId="17" xfId="0" applyFont="1" applyFill="1" applyBorder="1" applyAlignment="1">
      <alignment horizontal="center" vertical="top" wrapText="1"/>
    </xf>
    <xf numFmtId="0" fontId="13" fillId="0" borderId="11" xfId="0" applyFont="1" applyFill="1" applyBorder="1" applyAlignment="1">
      <alignment horizontal="center" shrinkToFit="1"/>
    </xf>
    <xf numFmtId="0" fontId="13" fillId="0" borderId="30" xfId="0" applyFont="1" applyFill="1" applyBorder="1" applyAlignment="1">
      <alignment horizontal="center" wrapText="1"/>
    </xf>
    <xf numFmtId="0" fontId="13" fillId="0" borderId="12" xfId="0" applyFont="1" applyFill="1" applyBorder="1" applyAlignment="1">
      <alignment horizontal="center" vertical="top" shrinkToFit="1"/>
    </xf>
    <xf numFmtId="0" fontId="13" fillId="0" borderId="6" xfId="0" applyFont="1" applyFill="1" applyBorder="1" applyAlignment="1">
      <alignment horizontal="center" vertical="top" shrinkToFit="1"/>
    </xf>
    <xf numFmtId="0" fontId="6" fillId="0" borderId="10" xfId="0" applyFont="1" applyFill="1" applyBorder="1" applyAlignment="1">
      <alignment horizontal="center" shrinkToFit="1"/>
    </xf>
    <xf numFmtId="0" fontId="6" fillId="0" borderId="19" xfId="0" applyFont="1" applyFill="1" applyBorder="1" applyAlignment="1">
      <alignment horizontal="center" shrinkToFit="1"/>
    </xf>
    <xf numFmtId="0" fontId="6" fillId="2" borderId="19" xfId="0" applyFont="1" applyFill="1" applyBorder="1" applyAlignment="1">
      <alignment horizontal="center" shrinkToFit="1"/>
    </xf>
    <xf numFmtId="0" fontId="5" fillId="0" borderId="30" xfId="0" applyFont="1" applyFill="1" applyBorder="1" applyAlignment="1">
      <alignment horizontal="center" wrapText="1"/>
    </xf>
    <xf numFmtId="165" fontId="10" fillId="0" borderId="11" xfId="0" applyNumberFormat="1" applyFont="1" applyFill="1" applyBorder="1" applyAlignment="1">
      <alignment horizontal="center" shrinkToFit="1"/>
    </xf>
    <xf numFmtId="165" fontId="10" fillId="0" borderId="30" xfId="0" applyNumberFormat="1" applyFont="1" applyFill="1" applyBorder="1" applyAlignment="1">
      <alignment horizontal="center" shrinkToFit="1"/>
    </xf>
    <xf numFmtId="165" fontId="10" fillId="0" borderId="31" xfId="0" quotePrefix="1" applyNumberFormat="1" applyFont="1" applyFill="1" applyBorder="1" applyAlignment="1">
      <alignment horizontal="center" vertical="top" shrinkToFit="1"/>
    </xf>
    <xf numFmtId="166" fontId="10" fillId="0" borderId="32" xfId="2" applyNumberFormat="1" applyFont="1" applyFill="1" applyBorder="1" applyAlignment="1">
      <alignment horizontal="center" vertical="top" shrinkToFit="1"/>
    </xf>
    <xf numFmtId="165" fontId="10" fillId="0" borderId="33" xfId="0" applyNumberFormat="1" applyFont="1" applyFill="1" applyBorder="1" applyAlignment="1">
      <alignment horizontal="center" shrinkToFit="1"/>
    </xf>
    <xf numFmtId="165" fontId="10" fillId="0" borderId="34" xfId="0" applyNumberFormat="1" applyFont="1" applyFill="1" applyBorder="1" applyAlignment="1">
      <alignment horizontal="center" shrinkToFit="1"/>
    </xf>
    <xf numFmtId="165" fontId="10" fillId="0" borderId="35" xfId="0" quotePrefix="1" applyNumberFormat="1" applyFont="1" applyFill="1" applyBorder="1" applyAlignment="1">
      <alignment horizontal="center" vertical="top" shrinkToFit="1"/>
    </xf>
    <xf numFmtId="166" fontId="10" fillId="0" borderId="36" xfId="2" applyNumberFormat="1" applyFont="1" applyFill="1" applyBorder="1" applyAlignment="1">
      <alignment horizontal="center" vertical="top" shrinkToFit="1"/>
    </xf>
    <xf numFmtId="165" fontId="10" fillId="0" borderId="32" xfId="0" applyNumberFormat="1" applyFont="1" applyFill="1" applyBorder="1" applyAlignment="1">
      <alignment horizontal="center" shrinkToFit="1"/>
    </xf>
    <xf numFmtId="165" fontId="10" fillId="0" borderId="12" xfId="0" quotePrefix="1" applyNumberFormat="1" applyFont="1" applyFill="1" applyBorder="1" applyAlignment="1">
      <alignment horizontal="center" vertical="top" shrinkToFit="1"/>
    </xf>
    <xf numFmtId="166" fontId="10" fillId="0" borderId="6" xfId="2" applyNumberFormat="1" applyFont="1" applyFill="1" applyBorder="1" applyAlignment="1">
      <alignment horizontal="center" vertical="top" shrinkToFit="1"/>
    </xf>
    <xf numFmtId="165" fontId="8" fillId="0" borderId="11" xfId="0" applyNumberFormat="1" applyFont="1" applyFill="1" applyBorder="1" applyAlignment="1">
      <alignment horizontal="center" vertical="center" shrinkToFit="1"/>
    </xf>
    <xf numFmtId="165" fontId="8" fillId="0" borderId="30" xfId="0" applyNumberFormat="1" applyFont="1" applyFill="1" applyBorder="1" applyAlignment="1">
      <alignment horizontal="center" vertical="center" shrinkToFit="1"/>
    </xf>
    <xf numFmtId="165" fontId="10" fillId="0" borderId="35" xfId="0" quotePrefix="1" applyNumberFormat="1" applyFont="1" applyFill="1" applyBorder="1" applyAlignment="1">
      <alignment horizontal="center" vertical="center" shrinkToFit="1"/>
    </xf>
    <xf numFmtId="165" fontId="10" fillId="0" borderId="36" xfId="0" applyNumberFormat="1" applyFont="1" applyFill="1" applyBorder="1" applyAlignment="1">
      <alignment horizontal="center" vertical="center" shrinkToFit="1"/>
    </xf>
    <xf numFmtId="165" fontId="8" fillId="0" borderId="30" xfId="2" applyNumberFormat="1" applyFont="1" applyFill="1" applyBorder="1" applyAlignment="1">
      <alignment horizontal="center" vertical="center" shrinkToFit="1"/>
    </xf>
    <xf numFmtId="165" fontId="10" fillId="0" borderId="31" xfId="0" quotePrefix="1" applyNumberFormat="1" applyFont="1" applyFill="1" applyBorder="1" applyAlignment="1">
      <alignment horizontal="center" vertical="center" shrinkToFit="1"/>
    </xf>
    <xf numFmtId="165" fontId="10" fillId="0" borderId="37" xfId="2" applyNumberFormat="1" applyFont="1" applyFill="1" applyBorder="1" applyAlignment="1">
      <alignment horizontal="center" vertical="center" shrinkToFit="1"/>
    </xf>
    <xf numFmtId="166" fontId="10" fillId="0" borderId="38" xfId="2" quotePrefix="1" applyNumberFormat="1" applyFont="1" applyFill="1" applyBorder="1" applyAlignment="1">
      <alignment horizontal="center" vertical="top" shrinkToFit="1"/>
    </xf>
    <xf numFmtId="166" fontId="10" fillId="0" borderId="39" xfId="2" applyNumberFormat="1" applyFont="1" applyFill="1" applyBorder="1" applyAlignment="1">
      <alignment horizontal="center" vertical="top" shrinkToFit="1"/>
    </xf>
    <xf numFmtId="165" fontId="10" fillId="0" borderId="34" xfId="0" quotePrefix="1" applyNumberFormat="1" applyFont="1" applyFill="1" applyBorder="1" applyAlignment="1">
      <alignment horizontal="center" shrinkToFit="1"/>
    </xf>
    <xf numFmtId="166" fontId="10" fillId="0" borderId="12" xfId="2" quotePrefix="1" applyNumberFormat="1" applyFont="1" applyFill="1" applyBorder="1" applyAlignment="1">
      <alignment horizontal="center" vertical="top" shrinkToFit="1"/>
    </xf>
    <xf numFmtId="166" fontId="10" fillId="0" borderId="6" xfId="0" quotePrefix="1" applyNumberFormat="1" applyFont="1" applyFill="1" applyBorder="1" applyAlignment="1">
      <alignment horizontal="center" vertical="top" shrinkToFit="1"/>
    </xf>
    <xf numFmtId="165" fontId="8" fillId="0" borderId="33" xfId="0" applyNumberFormat="1" applyFont="1" applyFill="1" applyBorder="1" applyAlignment="1">
      <alignment horizontal="center" vertical="center" shrinkToFit="1"/>
    </xf>
    <xf numFmtId="165" fontId="8" fillId="0" borderId="32" xfId="0" applyNumberFormat="1" applyFont="1" applyFill="1" applyBorder="1" applyAlignment="1">
      <alignment horizontal="center" vertical="center" shrinkToFit="1"/>
    </xf>
    <xf numFmtId="165" fontId="10" fillId="0" borderId="33" xfId="0" quotePrefix="1" applyNumberFormat="1" applyFont="1" applyFill="1" applyBorder="1" applyAlignment="1">
      <alignment horizontal="center" vertical="center" shrinkToFit="1"/>
    </xf>
    <xf numFmtId="165" fontId="10" fillId="0" borderId="32" xfId="0" applyNumberFormat="1" applyFont="1" applyFill="1" applyBorder="1" applyAlignment="1">
      <alignment horizontal="center" vertical="center" shrinkToFit="1"/>
    </xf>
    <xf numFmtId="166" fontId="10" fillId="0" borderId="32" xfId="2" applyNumberFormat="1" applyFont="1" applyFill="1" applyBorder="1" applyAlignment="1">
      <alignment horizontal="center" vertical="center" shrinkToFit="1"/>
    </xf>
    <xf numFmtId="165" fontId="10" fillId="0" borderId="12" xfId="0" quotePrefix="1" applyNumberFormat="1" applyFont="1" applyFill="1" applyBorder="1" applyAlignment="1">
      <alignment horizontal="center" vertical="center" shrinkToFit="1"/>
    </xf>
    <xf numFmtId="166" fontId="10" fillId="0" borderId="6" xfId="2" applyNumberFormat="1" applyFont="1" applyFill="1" applyBorder="1" applyAlignment="1">
      <alignment horizontal="center" vertical="center" shrinkToFit="1"/>
    </xf>
    <xf numFmtId="165" fontId="8" fillId="0" borderId="34" xfId="0" applyNumberFormat="1" applyFont="1" applyFill="1" applyBorder="1" applyAlignment="1">
      <alignment horizontal="center" vertical="center" shrinkToFit="1"/>
    </xf>
    <xf numFmtId="164" fontId="7" fillId="0" borderId="40" xfId="1" applyFont="1" applyFill="1" applyBorder="1" applyAlignment="1">
      <alignment vertical="center"/>
    </xf>
    <xf numFmtId="3" fontId="10" fillId="0" borderId="10" xfId="0" applyNumberFormat="1" applyFont="1" applyFill="1" applyBorder="1" applyAlignment="1">
      <alignment horizontal="center" vertical="center"/>
    </xf>
    <xf numFmtId="3" fontId="10" fillId="0" borderId="19" xfId="0" applyNumberFormat="1" applyFont="1" applyFill="1" applyBorder="1" applyAlignment="1">
      <alignment horizontal="center" vertical="center"/>
    </xf>
    <xf numFmtId="3" fontId="10" fillId="2" borderId="19" xfId="0" applyNumberFormat="1" applyFont="1" applyFill="1" applyBorder="1" applyAlignment="1">
      <alignment horizontal="center" vertical="center"/>
    </xf>
    <xf numFmtId="3" fontId="10" fillId="0" borderId="11" xfId="0" quotePrefix="1" applyNumberFormat="1" applyFont="1" applyFill="1" applyBorder="1" applyAlignment="1">
      <alignment horizontal="center" vertical="center" shrinkToFit="1"/>
    </xf>
    <xf numFmtId="3" fontId="10" fillId="0" borderId="30" xfId="0" applyNumberFormat="1" applyFont="1" applyFill="1" applyBorder="1" applyAlignment="1">
      <alignment horizontal="center" vertical="center" shrinkToFit="1"/>
    </xf>
    <xf numFmtId="0" fontId="14" fillId="0" borderId="0" xfId="0" applyFont="1" applyFill="1" applyAlignment="1">
      <alignment horizont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1" fontId="3" fillId="2" borderId="18" xfId="0" applyNumberFormat="1" applyFont="1" applyFill="1" applyBorder="1" applyAlignment="1">
      <alignment horizontal="center" vertical="center"/>
    </xf>
    <xf numFmtId="165" fontId="3" fillId="0" borderId="10" xfId="0" applyNumberFormat="1" applyFont="1" applyFill="1" applyBorder="1" applyAlignment="1">
      <alignment horizontal="center"/>
    </xf>
    <xf numFmtId="165" fontId="3" fillId="0" borderId="19" xfId="0" applyNumberFormat="1" applyFont="1" applyFill="1" applyBorder="1" applyAlignment="1">
      <alignment horizontal="center"/>
    </xf>
    <xf numFmtId="165" fontId="3" fillId="2" borderId="19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 vertical="top"/>
    </xf>
    <xf numFmtId="166" fontId="3" fillId="0" borderId="20" xfId="2" applyNumberFormat="1" applyFont="1" applyFill="1" applyBorder="1" applyAlignment="1">
      <alignment horizontal="center" vertical="top"/>
    </xf>
    <xf numFmtId="166" fontId="3" fillId="0" borderId="0" xfId="2" applyNumberFormat="1" applyFont="1" applyFill="1" applyBorder="1" applyAlignment="1">
      <alignment horizontal="center" vertical="top"/>
    </xf>
    <xf numFmtId="166" fontId="3" fillId="2" borderId="20" xfId="2" applyNumberFormat="1" applyFont="1" applyFill="1" applyBorder="1" applyAlignment="1">
      <alignment horizontal="center" vertical="top"/>
    </xf>
    <xf numFmtId="165" fontId="3" fillId="0" borderId="8" xfId="0" applyNumberFormat="1" applyFont="1" applyFill="1" applyBorder="1" applyAlignment="1">
      <alignment horizontal="center"/>
    </xf>
    <xf numFmtId="165" fontId="3" fillId="0" borderId="21" xfId="0" applyNumberFormat="1" applyFont="1" applyFill="1" applyBorder="1" applyAlignment="1">
      <alignment horizontal="center"/>
    </xf>
    <xf numFmtId="165" fontId="3" fillId="2" borderId="21" xfId="0" applyNumberFormat="1" applyFont="1" applyFill="1" applyBorder="1" applyAlignment="1">
      <alignment horizontal="center"/>
    </xf>
    <xf numFmtId="166" fontId="3" fillId="0" borderId="7" xfId="2" applyNumberFormat="1" applyFont="1" applyFill="1" applyBorder="1" applyAlignment="1">
      <alignment horizontal="center" vertical="top"/>
    </xf>
    <xf numFmtId="166" fontId="3" fillId="0" borderId="22" xfId="2" applyNumberFormat="1" applyFont="1" applyFill="1" applyBorder="1" applyAlignment="1">
      <alignment horizontal="center" vertical="top"/>
    </xf>
    <xf numFmtId="166" fontId="3" fillId="2" borderId="22" xfId="2" applyNumberFormat="1" applyFont="1" applyFill="1" applyBorder="1" applyAlignment="1">
      <alignment horizontal="center" vertical="top"/>
    </xf>
    <xf numFmtId="165" fontId="3" fillId="0" borderId="0" xfId="0" applyNumberFormat="1" applyFont="1" applyFill="1" applyBorder="1" applyAlignment="1">
      <alignment horizontal="center"/>
    </xf>
    <xf numFmtId="165" fontId="3" fillId="0" borderId="20" xfId="0" applyNumberFormat="1" applyFont="1" applyFill="1" applyBorder="1" applyAlignment="1">
      <alignment horizontal="center"/>
    </xf>
    <xf numFmtId="165" fontId="3" fillId="2" borderId="20" xfId="0" applyNumberFormat="1" applyFont="1" applyFill="1" applyBorder="1" applyAlignment="1">
      <alignment horizontal="center"/>
    </xf>
    <xf numFmtId="166" fontId="3" fillId="0" borderId="5" xfId="2" applyNumberFormat="1" applyFont="1" applyFill="1" applyBorder="1" applyAlignment="1">
      <alignment horizontal="center" vertical="top"/>
    </xf>
    <xf numFmtId="166" fontId="3" fillId="0" borderId="17" xfId="2" applyNumberFormat="1" applyFont="1" applyFill="1" applyBorder="1" applyAlignment="1">
      <alignment horizontal="center" vertical="top"/>
    </xf>
    <xf numFmtId="166" fontId="3" fillId="2" borderId="17" xfId="2" applyNumberFormat="1" applyFont="1" applyFill="1" applyBorder="1" applyAlignment="1">
      <alignment horizontal="center" vertical="top"/>
    </xf>
    <xf numFmtId="165" fontId="5" fillId="0" borderId="10" xfId="0" applyNumberFormat="1" applyFont="1" applyFill="1" applyBorder="1" applyAlignment="1">
      <alignment horizontal="center" vertical="center"/>
    </xf>
    <xf numFmtId="165" fontId="5" fillId="0" borderId="19" xfId="0" applyNumberFormat="1" applyFont="1" applyFill="1" applyBorder="1" applyAlignment="1">
      <alignment horizontal="center" vertical="center"/>
    </xf>
    <xf numFmtId="165" fontId="5" fillId="2" borderId="19" xfId="0" applyNumberFormat="1" applyFont="1" applyFill="1" applyBorder="1" applyAlignment="1">
      <alignment horizontal="center" vertical="center"/>
    </xf>
    <xf numFmtId="165" fontId="3" fillId="0" borderId="7" xfId="0" applyNumberFormat="1" applyFont="1" applyFill="1" applyBorder="1" applyAlignment="1">
      <alignment horizontal="center" vertical="center"/>
    </xf>
    <xf numFmtId="165" fontId="3" fillId="0" borderId="22" xfId="0" applyNumberFormat="1" applyFont="1" applyFill="1" applyBorder="1" applyAlignment="1">
      <alignment horizontal="center" vertical="center"/>
    </xf>
    <xf numFmtId="165" fontId="3" fillId="2" borderId="22" xfId="0" applyNumberFormat="1" applyFont="1" applyFill="1" applyBorder="1" applyAlignment="1">
      <alignment horizontal="center" vertical="center"/>
    </xf>
    <xf numFmtId="165" fontId="3" fillId="0" borderId="16" xfId="0" applyNumberFormat="1" applyFont="1" applyFill="1" applyBorder="1" applyAlignment="1">
      <alignment horizontal="center" vertical="center"/>
    </xf>
    <xf numFmtId="165" fontId="3" fillId="0" borderId="23" xfId="0" applyNumberFormat="1" applyFont="1" applyFill="1" applyBorder="1" applyAlignment="1">
      <alignment horizontal="center" vertical="center"/>
    </xf>
    <xf numFmtId="165" fontId="3" fillId="2" borderId="23" xfId="0" applyNumberFormat="1" applyFont="1" applyFill="1" applyBorder="1" applyAlignment="1">
      <alignment horizontal="center" vertical="center"/>
    </xf>
    <xf numFmtId="3" fontId="3" fillId="0" borderId="10" xfId="0" applyNumberFormat="1" applyFont="1" applyFill="1" applyBorder="1" applyAlignment="1">
      <alignment horizontal="center" vertical="center"/>
    </xf>
    <xf numFmtId="3" fontId="3" fillId="0" borderId="19" xfId="0" applyNumberFormat="1" applyFont="1" applyFill="1" applyBorder="1" applyAlignment="1">
      <alignment horizontal="center" vertical="center"/>
    </xf>
    <xf numFmtId="3" fontId="3" fillId="2" borderId="19" xfId="0" applyNumberFormat="1" applyFont="1" applyFill="1" applyBorder="1" applyAlignment="1">
      <alignment horizontal="center" vertical="center"/>
    </xf>
    <xf numFmtId="165" fontId="5" fillId="0" borderId="0" xfId="0" applyNumberFormat="1" applyFont="1" applyFill="1" applyBorder="1" applyAlignment="1">
      <alignment horizontal="center" vertical="center"/>
    </xf>
    <xf numFmtId="165" fontId="5" fillId="0" borderId="20" xfId="0" applyNumberFormat="1" applyFont="1" applyFill="1" applyBorder="1" applyAlignment="1">
      <alignment horizontal="center" vertical="center"/>
    </xf>
    <xf numFmtId="165" fontId="5" fillId="2" borderId="2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165" fontId="3" fillId="0" borderId="20" xfId="0" applyNumberFormat="1" applyFont="1" applyFill="1" applyBorder="1" applyAlignment="1">
      <alignment horizontal="center" vertical="center"/>
    </xf>
    <xf numFmtId="165" fontId="3" fillId="2" borderId="20" xfId="0" applyNumberFormat="1" applyFont="1" applyFill="1" applyBorder="1" applyAlignment="1">
      <alignment horizontal="center" vertical="center"/>
    </xf>
    <xf numFmtId="166" fontId="3" fillId="0" borderId="0" xfId="2" applyNumberFormat="1" applyFont="1" applyFill="1" applyBorder="1" applyAlignment="1">
      <alignment horizontal="center" vertical="center"/>
    </xf>
    <xf numFmtId="166" fontId="3" fillId="0" borderId="20" xfId="2" applyNumberFormat="1" applyFont="1" applyFill="1" applyBorder="1" applyAlignment="1">
      <alignment horizontal="center" vertical="center"/>
    </xf>
    <xf numFmtId="166" fontId="3" fillId="2" borderId="20" xfId="2" applyNumberFormat="1" applyFont="1" applyFill="1" applyBorder="1" applyAlignment="1">
      <alignment horizontal="center" vertical="center"/>
    </xf>
    <xf numFmtId="166" fontId="3" fillId="0" borderId="5" xfId="2" applyNumberFormat="1" applyFont="1" applyFill="1" applyBorder="1" applyAlignment="1">
      <alignment horizontal="center" vertical="center"/>
    </xf>
    <xf numFmtId="166" fontId="3" fillId="0" borderId="17" xfId="2" applyNumberFormat="1" applyFont="1" applyFill="1" applyBorder="1" applyAlignment="1">
      <alignment horizontal="center" vertical="center"/>
    </xf>
    <xf numFmtId="166" fontId="3" fillId="2" borderId="17" xfId="2" applyNumberFormat="1" applyFont="1" applyFill="1" applyBorder="1" applyAlignment="1">
      <alignment horizontal="center" vertical="center"/>
    </xf>
    <xf numFmtId="165" fontId="5" fillId="0" borderId="8" xfId="0" applyNumberFormat="1" applyFont="1" applyFill="1" applyBorder="1" applyAlignment="1">
      <alignment horizontal="center" vertical="center"/>
    </xf>
    <xf numFmtId="165" fontId="5" fillId="0" borderId="21" xfId="0" applyNumberFormat="1" applyFont="1" applyFill="1" applyBorder="1" applyAlignment="1">
      <alignment horizontal="center" vertical="center"/>
    </xf>
    <xf numFmtId="165" fontId="5" fillId="2" borderId="21" xfId="0" applyNumberFormat="1" applyFont="1" applyFill="1" applyBorder="1" applyAlignment="1">
      <alignment horizontal="center" vertical="center"/>
    </xf>
    <xf numFmtId="0" fontId="15" fillId="0" borderId="0" xfId="0" applyFont="1" applyFill="1"/>
    <xf numFmtId="0" fontId="15" fillId="0" borderId="0" xfId="0" applyFont="1" applyFill="1" applyAlignment="1"/>
    <xf numFmtId="0" fontId="15" fillId="0" borderId="0" xfId="0" applyFont="1" applyFill="1" applyAlignment="1">
      <alignment vertical="top"/>
    </xf>
    <xf numFmtId="16" fontId="15" fillId="0" borderId="0" xfId="0" applyNumberFormat="1" applyFont="1" applyFill="1" applyAlignment="1">
      <alignment vertical="top"/>
    </xf>
    <xf numFmtId="0" fontId="3" fillId="0" borderId="17" xfId="0" applyFont="1" applyFill="1" applyBorder="1" applyAlignment="1">
      <alignment horizontal="center" vertical="top" wrapText="1"/>
    </xf>
    <xf numFmtId="0" fontId="4" fillId="2" borderId="17" xfId="0" applyFont="1" applyFill="1" applyBorder="1" applyAlignment="1">
      <alignment horizontal="center" vertical="top" wrapText="1"/>
    </xf>
    <xf numFmtId="0" fontId="17" fillId="0" borderId="0" xfId="0" applyFont="1" applyFill="1" applyAlignment="1">
      <alignment horizontal="center"/>
    </xf>
    <xf numFmtId="0" fontId="3" fillId="0" borderId="13" xfId="0" applyFont="1" applyFill="1" applyBorder="1" applyAlignment="1">
      <alignment horizontal="center" vertical="center"/>
    </xf>
    <xf numFmtId="1" fontId="3" fillId="0" borderId="14" xfId="0" applyNumberFormat="1" applyFont="1" applyFill="1" applyBorder="1" applyAlignment="1">
      <alignment horizontal="center" vertical="center"/>
    </xf>
    <xf numFmtId="0" fontId="3" fillId="0" borderId="13" xfId="0" quotePrefix="1" applyFont="1" applyFill="1" applyBorder="1" applyAlignment="1">
      <alignment horizontal="center" vertical="center"/>
    </xf>
    <xf numFmtId="165" fontId="3" fillId="0" borderId="11" xfId="0" applyNumberFormat="1" applyFont="1" applyFill="1" applyBorder="1" applyAlignment="1">
      <alignment horizontal="center" shrinkToFit="1"/>
    </xf>
    <xf numFmtId="165" fontId="3" fillId="0" borderId="30" xfId="0" applyNumberFormat="1" applyFont="1" applyFill="1" applyBorder="1" applyAlignment="1">
      <alignment horizontal="center" shrinkToFit="1"/>
    </xf>
    <xf numFmtId="166" fontId="3" fillId="0" borderId="20" xfId="0" applyNumberFormat="1" applyFont="1" applyFill="1" applyBorder="1" applyAlignment="1">
      <alignment horizontal="center" vertical="top"/>
    </xf>
    <xf numFmtId="165" fontId="3" fillId="0" borderId="31" xfId="0" quotePrefix="1" applyNumberFormat="1" applyFont="1" applyFill="1" applyBorder="1" applyAlignment="1">
      <alignment horizontal="center" vertical="top" shrinkToFit="1"/>
    </xf>
    <xf numFmtId="166" fontId="3" fillId="0" borderId="32" xfId="2" applyNumberFormat="1" applyFont="1" applyFill="1" applyBorder="1" applyAlignment="1">
      <alignment horizontal="center" vertical="top" shrinkToFit="1"/>
    </xf>
    <xf numFmtId="165" fontId="3" fillId="0" borderId="33" xfId="0" applyNumberFormat="1" applyFont="1" applyFill="1" applyBorder="1" applyAlignment="1">
      <alignment horizontal="center" shrinkToFit="1"/>
    </xf>
    <xf numFmtId="165" fontId="3" fillId="0" borderId="34" xfId="0" applyNumberFormat="1" applyFont="1" applyFill="1" applyBorder="1" applyAlignment="1">
      <alignment horizontal="center" shrinkToFit="1"/>
    </xf>
    <xf numFmtId="166" fontId="3" fillId="0" borderId="22" xfId="0" applyNumberFormat="1" applyFont="1" applyFill="1" applyBorder="1" applyAlignment="1">
      <alignment horizontal="center" vertical="top"/>
    </xf>
    <xf numFmtId="165" fontId="3" fillId="0" borderId="35" xfId="0" quotePrefix="1" applyNumberFormat="1" applyFont="1" applyFill="1" applyBorder="1" applyAlignment="1">
      <alignment horizontal="center" vertical="top" shrinkToFit="1"/>
    </xf>
    <xf numFmtId="166" fontId="3" fillId="0" borderId="36" xfId="2" applyNumberFormat="1" applyFont="1" applyFill="1" applyBorder="1" applyAlignment="1">
      <alignment horizontal="center" vertical="top" shrinkToFit="1"/>
    </xf>
    <xf numFmtId="165" fontId="3" fillId="0" borderId="32" xfId="0" applyNumberFormat="1" applyFont="1" applyFill="1" applyBorder="1" applyAlignment="1">
      <alignment horizontal="center" shrinkToFit="1"/>
    </xf>
    <xf numFmtId="166" fontId="3" fillId="0" borderId="17" xfId="0" applyNumberFormat="1" applyFont="1" applyFill="1" applyBorder="1" applyAlignment="1">
      <alignment horizontal="center" vertical="top"/>
    </xf>
    <xf numFmtId="165" fontId="3" fillId="0" borderId="12" xfId="0" quotePrefix="1" applyNumberFormat="1" applyFont="1" applyFill="1" applyBorder="1" applyAlignment="1">
      <alignment horizontal="center" vertical="top" shrinkToFit="1"/>
    </xf>
    <xf numFmtId="166" fontId="3" fillId="0" borderId="6" xfId="2" applyNumberFormat="1" applyFont="1" applyFill="1" applyBorder="1" applyAlignment="1">
      <alignment horizontal="center" vertical="top" shrinkToFit="1"/>
    </xf>
    <xf numFmtId="165" fontId="5" fillId="0" borderId="11" xfId="0" applyNumberFormat="1" applyFont="1" applyFill="1" applyBorder="1" applyAlignment="1">
      <alignment horizontal="center" vertical="center" shrinkToFit="1"/>
    </xf>
    <xf numFmtId="165" fontId="5" fillId="0" borderId="30" xfId="0" applyNumberFormat="1" applyFont="1" applyFill="1" applyBorder="1" applyAlignment="1">
      <alignment horizontal="center" vertical="center" shrinkToFit="1"/>
    </xf>
    <xf numFmtId="165" fontId="3" fillId="0" borderId="35" xfId="0" quotePrefix="1" applyNumberFormat="1" applyFont="1" applyFill="1" applyBorder="1" applyAlignment="1">
      <alignment horizontal="center" vertical="center" shrinkToFit="1"/>
    </xf>
    <xf numFmtId="165" fontId="3" fillId="0" borderId="36" xfId="0" applyNumberFormat="1" applyFont="1" applyFill="1" applyBorder="1" applyAlignment="1">
      <alignment horizontal="center" vertical="center" shrinkToFit="1"/>
    </xf>
    <xf numFmtId="165" fontId="5" fillId="0" borderId="30" xfId="2" applyNumberFormat="1" applyFont="1" applyFill="1" applyBorder="1" applyAlignment="1">
      <alignment horizontal="center" vertical="center" shrinkToFit="1"/>
    </xf>
    <xf numFmtId="165" fontId="3" fillId="0" borderId="31" xfId="0" quotePrefix="1" applyNumberFormat="1" applyFont="1" applyFill="1" applyBorder="1" applyAlignment="1">
      <alignment horizontal="center" vertical="center" shrinkToFit="1"/>
    </xf>
    <xf numFmtId="165" fontId="3" fillId="0" borderId="37" xfId="2" applyNumberFormat="1" applyFont="1" applyFill="1" applyBorder="1" applyAlignment="1">
      <alignment horizontal="center" vertical="center" shrinkToFit="1"/>
    </xf>
    <xf numFmtId="166" fontId="3" fillId="0" borderId="38" xfId="2" quotePrefix="1" applyNumberFormat="1" applyFont="1" applyFill="1" applyBorder="1" applyAlignment="1">
      <alignment horizontal="center" vertical="top" shrinkToFit="1"/>
    </xf>
    <xf numFmtId="166" fontId="3" fillId="0" borderId="39" xfId="2" applyNumberFormat="1" applyFont="1" applyFill="1" applyBorder="1" applyAlignment="1">
      <alignment horizontal="center" vertical="top" shrinkToFit="1"/>
    </xf>
    <xf numFmtId="165" fontId="3" fillId="0" borderId="34" xfId="0" quotePrefix="1" applyNumberFormat="1" applyFont="1" applyFill="1" applyBorder="1" applyAlignment="1">
      <alignment horizontal="center" shrinkToFit="1"/>
    </xf>
    <xf numFmtId="166" fontId="3" fillId="0" borderId="12" xfId="2" quotePrefix="1" applyNumberFormat="1" applyFont="1" applyFill="1" applyBorder="1" applyAlignment="1">
      <alignment horizontal="center" vertical="top" shrinkToFit="1"/>
    </xf>
    <xf numFmtId="166" fontId="3" fillId="0" borderId="6" xfId="0" quotePrefix="1" applyNumberFormat="1" applyFont="1" applyFill="1" applyBorder="1" applyAlignment="1">
      <alignment horizontal="center" vertical="top" shrinkToFit="1"/>
    </xf>
    <xf numFmtId="3" fontId="3" fillId="0" borderId="11" xfId="0" quotePrefix="1" applyNumberFormat="1" applyFont="1" applyFill="1" applyBorder="1" applyAlignment="1">
      <alignment horizontal="center" vertical="center" shrinkToFit="1"/>
    </xf>
    <xf numFmtId="3" fontId="3" fillId="0" borderId="30" xfId="0" applyNumberFormat="1" applyFont="1" applyFill="1" applyBorder="1" applyAlignment="1">
      <alignment horizontal="center" vertical="center" shrinkToFit="1"/>
    </xf>
    <xf numFmtId="165" fontId="5" fillId="0" borderId="33" xfId="0" applyNumberFormat="1" applyFont="1" applyFill="1" applyBorder="1" applyAlignment="1">
      <alignment horizontal="center" vertical="center" shrinkToFit="1"/>
    </xf>
    <xf numFmtId="165" fontId="5" fillId="0" borderId="32" xfId="0" applyNumberFormat="1" applyFont="1" applyFill="1" applyBorder="1" applyAlignment="1">
      <alignment horizontal="center" vertical="center" shrinkToFit="1"/>
    </xf>
    <xf numFmtId="165" fontId="3" fillId="0" borderId="33" xfId="0" quotePrefix="1" applyNumberFormat="1" applyFont="1" applyFill="1" applyBorder="1" applyAlignment="1">
      <alignment horizontal="center" vertical="center" shrinkToFit="1"/>
    </xf>
    <xf numFmtId="165" fontId="3" fillId="0" borderId="32" xfId="0" applyNumberFormat="1" applyFont="1" applyFill="1" applyBorder="1" applyAlignment="1">
      <alignment horizontal="center" vertical="center" shrinkToFit="1"/>
    </xf>
    <xf numFmtId="166" fontId="3" fillId="0" borderId="32" xfId="2" applyNumberFormat="1" applyFont="1" applyFill="1" applyBorder="1" applyAlignment="1">
      <alignment horizontal="center" vertical="center" shrinkToFit="1"/>
    </xf>
    <xf numFmtId="165" fontId="3" fillId="0" borderId="12" xfId="0" quotePrefix="1" applyNumberFormat="1" applyFont="1" applyFill="1" applyBorder="1" applyAlignment="1">
      <alignment horizontal="center" vertical="center" shrinkToFit="1"/>
    </xf>
    <xf numFmtId="166" fontId="3" fillId="0" borderId="6" xfId="2" applyNumberFormat="1" applyFont="1" applyFill="1" applyBorder="1" applyAlignment="1">
      <alignment horizontal="center" vertical="center" shrinkToFit="1"/>
    </xf>
    <xf numFmtId="166" fontId="3" fillId="0" borderId="20" xfId="0" applyNumberFormat="1" applyFont="1" applyFill="1" applyBorder="1" applyAlignment="1">
      <alignment horizontal="center" vertical="center"/>
    </xf>
    <xf numFmtId="165" fontId="5" fillId="0" borderId="34" xfId="0" applyNumberFormat="1" applyFont="1" applyFill="1" applyBorder="1" applyAlignment="1">
      <alignment horizontal="center" vertical="center" shrinkToFit="1"/>
    </xf>
    <xf numFmtId="166" fontId="3" fillId="0" borderId="17" xfId="0" applyNumberFormat="1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1" fontId="18" fillId="2" borderId="18" xfId="0" applyNumberFormat="1" applyFont="1" applyFill="1" applyBorder="1" applyAlignment="1">
      <alignment horizontal="center" vertical="center"/>
    </xf>
    <xf numFmtId="1" fontId="3" fillId="0" borderId="18" xfId="0" applyNumberFormat="1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18" fillId="0" borderId="19" xfId="0" applyNumberFormat="1" applyFont="1" applyFill="1" applyBorder="1" applyAlignment="1">
      <alignment horizontal="center"/>
    </xf>
    <xf numFmtId="165" fontId="18" fillId="2" borderId="19" xfId="0" applyNumberFormat="1" applyFont="1" applyFill="1" applyBorder="1" applyAlignment="1">
      <alignment horizontal="center"/>
    </xf>
    <xf numFmtId="166" fontId="18" fillId="0" borderId="20" xfId="2" applyNumberFormat="1" applyFont="1" applyFill="1" applyBorder="1" applyAlignment="1">
      <alignment horizontal="center" vertical="top"/>
    </xf>
    <xf numFmtId="166" fontId="18" fillId="2" borderId="20" xfId="2" applyNumberFormat="1" applyFont="1" applyFill="1" applyBorder="1" applyAlignment="1">
      <alignment horizontal="center" vertical="top"/>
    </xf>
    <xf numFmtId="165" fontId="18" fillId="0" borderId="21" xfId="0" applyNumberFormat="1" applyFont="1" applyFill="1" applyBorder="1" applyAlignment="1">
      <alignment horizontal="center"/>
    </xf>
    <xf numFmtId="165" fontId="18" fillId="2" borderId="21" xfId="0" applyNumberFormat="1" applyFont="1" applyFill="1" applyBorder="1" applyAlignment="1">
      <alignment horizontal="center"/>
    </xf>
    <xf numFmtId="166" fontId="18" fillId="0" borderId="22" xfId="2" applyNumberFormat="1" applyFont="1" applyFill="1" applyBorder="1" applyAlignment="1">
      <alignment horizontal="center" vertical="top"/>
    </xf>
    <xf numFmtId="166" fontId="18" fillId="2" borderId="22" xfId="2" applyNumberFormat="1" applyFont="1" applyFill="1" applyBorder="1" applyAlignment="1">
      <alignment horizontal="center" vertical="top"/>
    </xf>
    <xf numFmtId="165" fontId="18" fillId="0" borderId="20" xfId="0" applyNumberFormat="1" applyFont="1" applyFill="1" applyBorder="1" applyAlignment="1">
      <alignment horizontal="center"/>
    </xf>
    <xf numFmtId="165" fontId="18" fillId="2" borderId="20" xfId="0" applyNumberFormat="1" applyFont="1" applyFill="1" applyBorder="1" applyAlignment="1">
      <alignment horizontal="center"/>
    </xf>
    <xf numFmtId="166" fontId="18" fillId="0" borderId="17" xfId="2" applyNumberFormat="1" applyFont="1" applyFill="1" applyBorder="1" applyAlignment="1">
      <alignment horizontal="center" vertical="top"/>
    </xf>
    <xf numFmtId="166" fontId="18" fillId="2" borderId="17" xfId="2" applyNumberFormat="1" applyFont="1" applyFill="1" applyBorder="1" applyAlignment="1">
      <alignment horizontal="center" vertical="top"/>
    </xf>
    <xf numFmtId="165" fontId="19" fillId="0" borderId="19" xfId="0" applyNumberFormat="1" applyFont="1" applyFill="1" applyBorder="1" applyAlignment="1">
      <alignment horizontal="center" vertical="center"/>
    </xf>
    <xf numFmtId="165" fontId="19" fillId="2" borderId="19" xfId="0" applyNumberFormat="1" applyFont="1" applyFill="1" applyBorder="1" applyAlignment="1">
      <alignment horizontal="center" vertical="center"/>
    </xf>
    <xf numFmtId="165" fontId="18" fillId="0" borderId="22" xfId="0" applyNumberFormat="1" applyFont="1" applyFill="1" applyBorder="1" applyAlignment="1">
      <alignment horizontal="center" vertical="center"/>
    </xf>
    <xf numFmtId="165" fontId="18" fillId="2" borderId="22" xfId="0" applyNumberFormat="1" applyFont="1" applyFill="1" applyBorder="1" applyAlignment="1">
      <alignment horizontal="center" vertical="center"/>
    </xf>
    <xf numFmtId="165" fontId="18" fillId="0" borderId="23" xfId="0" applyNumberFormat="1" applyFont="1" applyFill="1" applyBorder="1" applyAlignment="1">
      <alignment horizontal="center" vertical="center"/>
    </xf>
    <xf numFmtId="165" fontId="18" fillId="2" borderId="2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3" fontId="18" fillId="2" borderId="19" xfId="0" applyNumberFormat="1" applyFont="1" applyFill="1" applyBorder="1" applyAlignment="1">
      <alignment horizontal="center" vertical="center"/>
    </xf>
    <xf numFmtId="165" fontId="19" fillId="0" borderId="20" xfId="0" applyNumberFormat="1" applyFont="1" applyFill="1" applyBorder="1" applyAlignment="1">
      <alignment horizontal="center" vertical="center"/>
    </xf>
    <xf numFmtId="165" fontId="19" fillId="2" borderId="20" xfId="0" applyNumberFormat="1" applyFont="1" applyFill="1" applyBorder="1" applyAlignment="1">
      <alignment horizontal="center" vertical="center"/>
    </xf>
    <xf numFmtId="165" fontId="18" fillId="0" borderId="20" xfId="0" applyNumberFormat="1" applyFont="1" applyFill="1" applyBorder="1" applyAlignment="1">
      <alignment horizontal="center" vertical="center"/>
    </xf>
    <xf numFmtId="165" fontId="18" fillId="2" borderId="20" xfId="0" applyNumberFormat="1" applyFont="1" applyFill="1" applyBorder="1" applyAlignment="1">
      <alignment horizontal="center" vertical="center"/>
    </xf>
    <xf numFmtId="166" fontId="18" fillId="0" borderId="20" xfId="2" applyNumberFormat="1" applyFont="1" applyFill="1" applyBorder="1" applyAlignment="1">
      <alignment horizontal="center" vertical="center"/>
    </xf>
    <xf numFmtId="166" fontId="18" fillId="2" borderId="20" xfId="2" applyNumberFormat="1" applyFont="1" applyFill="1" applyBorder="1" applyAlignment="1">
      <alignment horizontal="center" vertical="center"/>
    </xf>
    <xf numFmtId="165" fontId="3" fillId="0" borderId="22" xfId="2" applyNumberFormat="1" applyFont="1" applyFill="1" applyBorder="1" applyAlignment="1">
      <alignment horizontal="center" vertical="center"/>
    </xf>
    <xf numFmtId="165" fontId="3" fillId="2" borderId="22" xfId="2" applyNumberFormat="1" applyFont="1" applyFill="1" applyBorder="1" applyAlignment="1">
      <alignment horizontal="center" vertical="center"/>
    </xf>
    <xf numFmtId="166" fontId="18" fillId="0" borderId="17" xfId="2" applyNumberFormat="1" applyFont="1" applyFill="1" applyBorder="1" applyAlignment="1">
      <alignment horizontal="center" vertical="center"/>
    </xf>
    <xf numFmtId="166" fontId="18" fillId="2" borderId="17" xfId="2" applyNumberFormat="1" applyFont="1" applyFill="1" applyBorder="1" applyAlignment="1">
      <alignment horizontal="center" vertical="center"/>
    </xf>
    <xf numFmtId="165" fontId="19" fillId="0" borderId="21" xfId="0" applyNumberFormat="1" applyFont="1" applyFill="1" applyBorder="1" applyAlignment="1">
      <alignment horizontal="center" vertical="center"/>
    </xf>
    <xf numFmtId="165" fontId="19" fillId="2" borderId="21" xfId="0" applyNumberFormat="1" applyFont="1" applyFill="1" applyBorder="1" applyAlignment="1">
      <alignment horizontal="center" vertical="center"/>
    </xf>
    <xf numFmtId="165" fontId="15" fillId="0" borderId="0" xfId="0" applyNumberFormat="1" applyFont="1" applyFill="1"/>
    <xf numFmtId="165" fontId="3" fillId="2" borderId="41" xfId="0" applyNumberFormat="1" applyFont="1" applyFill="1" applyBorder="1" applyAlignment="1">
      <alignment horizontal="center"/>
    </xf>
    <xf numFmtId="3" fontId="10" fillId="0" borderId="19" xfId="0" quotePrefix="1" applyNumberFormat="1" applyFont="1" applyFill="1" applyBorder="1" applyAlignment="1">
      <alignment horizontal="center" vertical="center"/>
    </xf>
    <xf numFmtId="3" fontId="10" fillId="2" borderId="19" xfId="0" quotePrefix="1" applyNumberFormat="1" applyFont="1" applyFill="1" applyBorder="1" applyAlignment="1">
      <alignment horizontal="center" vertical="center"/>
    </xf>
    <xf numFmtId="165" fontId="10" fillId="0" borderId="20" xfId="0" quotePrefix="1" applyNumberFormat="1" applyFont="1" applyFill="1" applyBorder="1" applyAlignment="1">
      <alignment horizontal="center" vertical="center"/>
    </xf>
    <xf numFmtId="165" fontId="10" fillId="2" borderId="20" xfId="0" quotePrefix="1" applyNumberFormat="1" applyFont="1" applyFill="1" applyBorder="1" applyAlignment="1">
      <alignment horizontal="center" vertical="center"/>
    </xf>
    <xf numFmtId="165" fontId="10" fillId="0" borderId="41" xfId="0" quotePrefix="1" applyNumberFormat="1" applyFont="1" applyFill="1" applyBorder="1" applyAlignment="1">
      <alignment horizontal="center" vertical="center"/>
    </xf>
    <xf numFmtId="165" fontId="10" fillId="2" borderId="41" xfId="0" quotePrefix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3" fontId="10" fillId="0" borderId="0" xfId="0" quotePrefix="1" applyNumberFormat="1" applyFont="1" applyFill="1" applyBorder="1" applyAlignment="1">
      <alignment horizontal="center" vertical="center"/>
    </xf>
    <xf numFmtId="3" fontId="20" fillId="0" borderId="0" xfId="0" quotePrefix="1" applyNumberFormat="1" applyFont="1" applyFill="1" applyBorder="1" applyAlignment="1">
      <alignment horizontal="center" vertical="center" shrinkToFit="1"/>
    </xf>
    <xf numFmtId="3" fontId="20" fillId="0" borderId="0" xfId="0" applyNumberFormat="1" applyFont="1" applyFill="1" applyBorder="1" applyAlignment="1">
      <alignment horizontal="center" vertical="center" shrinkToFit="1"/>
    </xf>
    <xf numFmtId="0" fontId="15" fillId="0" borderId="0" xfId="0" applyFont="1" applyFill="1" applyBorder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165" fontId="10" fillId="0" borderId="0" xfId="0" quotePrefix="1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 shrinkToFit="1"/>
    </xf>
    <xf numFmtId="165" fontId="20" fillId="0" borderId="0" xfId="0" quotePrefix="1" applyNumberFormat="1" applyFont="1" applyFill="1" applyBorder="1" applyAlignment="1">
      <alignment horizontal="center" vertical="center" shrinkToFit="1"/>
    </xf>
    <xf numFmtId="165" fontId="20" fillId="0" borderId="0" xfId="0" applyNumberFormat="1" applyFont="1" applyFill="1" applyBorder="1" applyAlignment="1">
      <alignment horizontal="center" vertical="center" shrinkToFit="1"/>
    </xf>
    <xf numFmtId="166" fontId="20" fillId="0" borderId="0" xfId="2" applyNumberFormat="1" applyFont="1" applyFill="1" applyBorder="1" applyAlignment="1">
      <alignment horizontal="center" vertical="center" shrinkToFit="1"/>
    </xf>
    <xf numFmtId="164" fontId="7" fillId="0" borderId="0" xfId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64" fontId="7" fillId="0" borderId="5" xfId="1" applyFont="1" applyFill="1" applyBorder="1" applyAlignment="1">
      <alignment vertical="center"/>
    </xf>
    <xf numFmtId="165" fontId="3" fillId="0" borderId="5" xfId="0" applyNumberFormat="1" applyFont="1" applyFill="1" applyBorder="1" applyAlignment="1">
      <alignment horizontal="center" vertical="center"/>
    </xf>
    <xf numFmtId="165" fontId="3" fillId="0" borderId="17" xfId="0" applyNumberFormat="1" applyFont="1" applyFill="1" applyBorder="1" applyAlignment="1">
      <alignment horizontal="center" vertical="center"/>
    </xf>
    <xf numFmtId="165" fontId="3" fillId="2" borderId="17" xfId="0" applyNumberFormat="1" applyFont="1" applyFill="1" applyBorder="1" applyAlignment="1">
      <alignment horizontal="center" vertical="center"/>
    </xf>
    <xf numFmtId="166" fontId="18" fillId="0" borderId="20" xfId="0" applyNumberFormat="1" applyFont="1" applyFill="1" applyBorder="1" applyAlignment="1">
      <alignment horizontal="center" vertical="top"/>
    </xf>
    <xf numFmtId="166" fontId="18" fillId="0" borderId="22" xfId="0" applyNumberFormat="1" applyFont="1" applyFill="1" applyBorder="1" applyAlignment="1">
      <alignment horizontal="center" vertical="top"/>
    </xf>
    <xf numFmtId="166" fontId="18" fillId="0" borderId="17" xfId="0" applyNumberFormat="1" applyFont="1" applyFill="1" applyBorder="1" applyAlignment="1">
      <alignment horizontal="center" vertical="top"/>
    </xf>
    <xf numFmtId="165" fontId="18" fillId="0" borderId="17" xfId="0" applyNumberFormat="1" applyFont="1" applyFill="1" applyBorder="1" applyAlignment="1">
      <alignment horizontal="center" vertical="center"/>
    </xf>
    <xf numFmtId="165" fontId="18" fillId="2" borderId="17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165" fontId="19" fillId="0" borderId="0" xfId="0" applyNumberFormat="1" applyFont="1" applyFill="1" applyBorder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/>
    </xf>
    <xf numFmtId="166" fontId="18" fillId="0" borderId="0" xfId="2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 applyAlignment="1">
      <alignment horizontal="center" vertical="center"/>
    </xf>
    <xf numFmtId="165" fontId="18" fillId="0" borderId="0" xfId="2" applyNumberFormat="1" applyFont="1" applyFill="1" applyBorder="1" applyAlignment="1">
      <alignment horizontal="center" vertical="center"/>
    </xf>
    <xf numFmtId="167" fontId="3" fillId="0" borderId="0" xfId="0" applyNumberFormat="1" applyFont="1" applyFill="1" applyBorder="1" applyAlignment="1">
      <alignment horizontal="center" vertical="center"/>
    </xf>
    <xf numFmtId="167" fontId="3" fillId="0" borderId="20" xfId="0" applyNumberFormat="1" applyFont="1" applyFill="1" applyBorder="1" applyAlignment="1">
      <alignment horizontal="center" vertical="center"/>
    </xf>
    <xf numFmtId="167" fontId="3" fillId="2" borderId="20" xfId="0" applyNumberFormat="1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1" fontId="18" fillId="0" borderId="14" xfId="0" applyNumberFormat="1" applyFont="1" applyFill="1" applyBorder="1" applyAlignment="1">
      <alignment horizontal="center" vertical="center"/>
    </xf>
    <xf numFmtId="0" fontId="18" fillId="0" borderId="13" xfId="0" quotePrefix="1" applyFont="1" applyFill="1" applyBorder="1" applyAlignment="1">
      <alignment horizontal="center" vertical="center"/>
    </xf>
    <xf numFmtId="165" fontId="18" fillId="0" borderId="11" xfId="0" applyNumberFormat="1" applyFont="1" applyFill="1" applyBorder="1" applyAlignment="1">
      <alignment horizontal="center" shrinkToFit="1"/>
    </xf>
    <xf numFmtId="165" fontId="18" fillId="0" borderId="30" xfId="0" applyNumberFormat="1" applyFont="1" applyFill="1" applyBorder="1" applyAlignment="1">
      <alignment horizontal="center" shrinkToFit="1"/>
    </xf>
    <xf numFmtId="165" fontId="18" fillId="0" borderId="31" xfId="0" quotePrefix="1" applyNumberFormat="1" applyFont="1" applyFill="1" applyBorder="1" applyAlignment="1">
      <alignment horizontal="center" vertical="top" shrinkToFit="1"/>
    </xf>
    <xf numFmtId="166" fontId="18" fillId="0" borderId="32" xfId="2" applyNumberFormat="1" applyFont="1" applyFill="1" applyBorder="1" applyAlignment="1">
      <alignment horizontal="center" vertical="top" shrinkToFit="1"/>
    </xf>
    <xf numFmtId="165" fontId="18" fillId="0" borderId="33" xfId="0" applyNumberFormat="1" applyFont="1" applyFill="1" applyBorder="1" applyAlignment="1">
      <alignment horizontal="center" shrinkToFit="1"/>
    </xf>
    <xf numFmtId="165" fontId="18" fillId="0" borderId="34" xfId="0" applyNumberFormat="1" applyFont="1" applyFill="1" applyBorder="1" applyAlignment="1">
      <alignment horizontal="center" shrinkToFit="1"/>
    </xf>
    <xf numFmtId="165" fontId="18" fillId="0" borderId="35" xfId="0" quotePrefix="1" applyNumberFormat="1" applyFont="1" applyFill="1" applyBorder="1" applyAlignment="1">
      <alignment horizontal="center" vertical="top" shrinkToFit="1"/>
    </xf>
    <xf numFmtId="166" fontId="18" fillId="0" borderId="36" xfId="2" applyNumberFormat="1" applyFont="1" applyFill="1" applyBorder="1" applyAlignment="1">
      <alignment horizontal="center" vertical="top" shrinkToFit="1"/>
    </xf>
    <xf numFmtId="165" fontId="18" fillId="0" borderId="32" xfId="0" applyNumberFormat="1" applyFont="1" applyFill="1" applyBorder="1" applyAlignment="1">
      <alignment horizontal="center" shrinkToFit="1"/>
    </xf>
    <xf numFmtId="165" fontId="18" fillId="0" borderId="12" xfId="0" quotePrefix="1" applyNumberFormat="1" applyFont="1" applyFill="1" applyBorder="1" applyAlignment="1">
      <alignment horizontal="center" vertical="top" shrinkToFit="1"/>
    </xf>
    <xf numFmtId="166" fontId="18" fillId="0" borderId="6" xfId="2" applyNumberFormat="1" applyFont="1" applyFill="1" applyBorder="1" applyAlignment="1">
      <alignment horizontal="center" vertical="top" shrinkToFit="1"/>
    </xf>
    <xf numFmtId="165" fontId="19" fillId="0" borderId="11" xfId="0" applyNumberFormat="1" applyFont="1" applyFill="1" applyBorder="1" applyAlignment="1">
      <alignment horizontal="center" vertical="center" shrinkToFit="1"/>
    </xf>
    <xf numFmtId="165" fontId="19" fillId="0" borderId="30" xfId="0" applyNumberFormat="1" applyFont="1" applyFill="1" applyBorder="1" applyAlignment="1">
      <alignment horizontal="center" vertical="center" shrinkToFit="1"/>
    </xf>
    <xf numFmtId="165" fontId="18" fillId="0" borderId="35" xfId="0" quotePrefix="1" applyNumberFormat="1" applyFont="1" applyFill="1" applyBorder="1" applyAlignment="1">
      <alignment horizontal="center" vertical="center" shrinkToFit="1"/>
    </xf>
    <xf numFmtId="165" fontId="18" fillId="0" borderId="36" xfId="0" applyNumberFormat="1" applyFont="1" applyFill="1" applyBorder="1" applyAlignment="1">
      <alignment horizontal="center" vertical="center" shrinkToFit="1"/>
    </xf>
    <xf numFmtId="165" fontId="19" fillId="0" borderId="30" xfId="2" applyNumberFormat="1" applyFont="1" applyFill="1" applyBorder="1" applyAlignment="1">
      <alignment horizontal="center" vertical="center" shrinkToFit="1"/>
    </xf>
    <xf numFmtId="165" fontId="18" fillId="0" borderId="31" xfId="0" quotePrefix="1" applyNumberFormat="1" applyFont="1" applyFill="1" applyBorder="1" applyAlignment="1">
      <alignment horizontal="center" vertical="center" shrinkToFit="1"/>
    </xf>
    <xf numFmtId="165" fontId="18" fillId="0" borderId="37" xfId="2" applyNumberFormat="1" applyFont="1" applyFill="1" applyBorder="1" applyAlignment="1">
      <alignment horizontal="center" vertical="center" shrinkToFit="1"/>
    </xf>
    <xf numFmtId="166" fontId="18" fillId="0" borderId="38" xfId="2" quotePrefix="1" applyNumberFormat="1" applyFont="1" applyFill="1" applyBorder="1" applyAlignment="1">
      <alignment horizontal="center" vertical="top" shrinkToFit="1"/>
    </xf>
    <xf numFmtId="166" fontId="18" fillId="0" borderId="39" xfId="2" applyNumberFormat="1" applyFont="1" applyFill="1" applyBorder="1" applyAlignment="1">
      <alignment horizontal="center" vertical="top" shrinkToFit="1"/>
    </xf>
    <xf numFmtId="165" fontId="18" fillId="0" borderId="34" xfId="0" quotePrefix="1" applyNumberFormat="1" applyFont="1" applyFill="1" applyBorder="1" applyAlignment="1">
      <alignment horizontal="center" shrinkToFit="1"/>
    </xf>
    <xf numFmtId="166" fontId="18" fillId="0" borderId="12" xfId="2" quotePrefix="1" applyNumberFormat="1" applyFont="1" applyFill="1" applyBorder="1" applyAlignment="1">
      <alignment horizontal="center" vertical="top" shrinkToFit="1"/>
    </xf>
    <xf numFmtId="166" fontId="18" fillId="0" borderId="6" xfId="0" quotePrefix="1" applyNumberFormat="1" applyFont="1" applyFill="1" applyBorder="1" applyAlignment="1">
      <alignment horizontal="center" vertical="top" shrinkToFit="1"/>
    </xf>
    <xf numFmtId="3" fontId="18" fillId="0" borderId="11" xfId="0" quotePrefix="1" applyNumberFormat="1" applyFont="1" applyFill="1" applyBorder="1" applyAlignment="1">
      <alignment horizontal="center" vertical="center" shrinkToFit="1"/>
    </xf>
    <xf numFmtId="3" fontId="18" fillId="0" borderId="30" xfId="0" applyNumberFormat="1" applyFont="1" applyFill="1" applyBorder="1" applyAlignment="1">
      <alignment horizontal="center" vertical="center" shrinkToFit="1"/>
    </xf>
    <xf numFmtId="165" fontId="19" fillId="0" borderId="33" xfId="0" applyNumberFormat="1" applyFont="1" applyFill="1" applyBorder="1" applyAlignment="1">
      <alignment horizontal="center" vertical="center" shrinkToFit="1"/>
    </xf>
    <xf numFmtId="165" fontId="19" fillId="0" borderId="32" xfId="0" applyNumberFormat="1" applyFont="1" applyFill="1" applyBorder="1" applyAlignment="1">
      <alignment horizontal="center" vertical="center" shrinkToFit="1"/>
    </xf>
    <xf numFmtId="165" fontId="18" fillId="0" borderId="33" xfId="0" quotePrefix="1" applyNumberFormat="1" applyFont="1" applyFill="1" applyBorder="1" applyAlignment="1">
      <alignment horizontal="center" vertical="center" shrinkToFit="1"/>
    </xf>
    <xf numFmtId="165" fontId="18" fillId="0" borderId="32" xfId="0" applyNumberFormat="1" applyFont="1" applyFill="1" applyBorder="1" applyAlignment="1">
      <alignment horizontal="center" vertical="center" shrinkToFit="1"/>
    </xf>
    <xf numFmtId="165" fontId="19" fillId="0" borderId="34" xfId="0" applyNumberFormat="1" applyFont="1" applyFill="1" applyBorder="1" applyAlignment="1">
      <alignment horizontal="center" vertical="center" shrinkToFit="1"/>
    </xf>
    <xf numFmtId="165" fontId="18" fillId="0" borderId="12" xfId="0" quotePrefix="1" applyNumberFormat="1" applyFont="1" applyFill="1" applyBorder="1" applyAlignment="1">
      <alignment horizontal="center" vertical="center" shrinkToFit="1"/>
    </xf>
    <xf numFmtId="165" fontId="18" fillId="0" borderId="6" xfId="0" applyNumberFormat="1" applyFont="1" applyFill="1" applyBorder="1" applyAlignment="1">
      <alignment horizontal="center" vertical="center" shrinkToFit="1"/>
    </xf>
    <xf numFmtId="165" fontId="10" fillId="0" borderId="17" xfId="0" quotePrefix="1" applyNumberFormat="1" applyFont="1" applyFill="1" applyBorder="1" applyAlignment="1">
      <alignment horizontal="center" vertical="center"/>
    </xf>
    <xf numFmtId="165" fontId="10" fillId="2" borderId="17" xfId="0" quotePrefix="1" applyNumberFormat="1" applyFont="1" applyFill="1" applyBorder="1" applyAlignment="1">
      <alignment horizontal="center" vertical="center"/>
    </xf>
    <xf numFmtId="167" fontId="3" fillId="0" borderId="22" xfId="0" applyNumberFormat="1" applyFont="1" applyFill="1" applyBorder="1" applyAlignment="1">
      <alignment horizontal="center" vertical="center"/>
    </xf>
    <xf numFmtId="167" fontId="18" fillId="0" borderId="20" xfId="0" applyNumberFormat="1" applyFont="1" applyFill="1" applyBorder="1" applyAlignment="1">
      <alignment horizontal="center" vertical="center"/>
    </xf>
    <xf numFmtId="167" fontId="18" fillId="2" borderId="20" xfId="0" applyNumberFormat="1" applyFont="1" applyFill="1" applyBorder="1" applyAlignment="1">
      <alignment horizontal="center" vertical="center"/>
    </xf>
    <xf numFmtId="167" fontId="18" fillId="0" borderId="31" xfId="0" quotePrefix="1" applyNumberFormat="1" applyFont="1" applyFill="1" applyBorder="1" applyAlignment="1">
      <alignment horizontal="center" vertical="center" shrinkToFit="1"/>
    </xf>
    <xf numFmtId="167" fontId="18" fillId="0" borderId="32" xfId="0" applyNumberFormat="1" applyFont="1" applyFill="1" applyBorder="1" applyAlignment="1">
      <alignment horizontal="center" vertical="center" shrinkToFit="1"/>
    </xf>
    <xf numFmtId="165" fontId="18" fillId="0" borderId="42" xfId="0" applyNumberFormat="1" applyFont="1" applyFill="1" applyBorder="1" applyAlignment="1">
      <alignment horizontal="center"/>
    </xf>
    <xf numFmtId="10" fontId="15" fillId="0" borderId="0" xfId="0" applyNumberFormat="1" applyFont="1" applyFill="1"/>
    <xf numFmtId="165" fontId="5" fillId="0" borderId="43" xfId="0" applyNumberFormat="1" applyFont="1" applyFill="1" applyBorder="1" applyAlignment="1">
      <alignment horizontal="center" vertical="center"/>
    </xf>
    <xf numFmtId="165" fontId="3" fillId="0" borderId="44" xfId="0" applyNumberFormat="1" applyFont="1" applyFill="1" applyBorder="1" applyAlignment="1">
      <alignment horizontal="center" vertical="center"/>
    </xf>
    <xf numFmtId="165" fontId="3" fillId="0" borderId="45" xfId="0" applyNumberFormat="1" applyFont="1" applyFill="1" applyBorder="1" applyAlignment="1">
      <alignment horizontal="center"/>
    </xf>
    <xf numFmtId="165" fontId="3" fillId="0" borderId="46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left" vertical="center"/>
    </xf>
    <xf numFmtId="0" fontId="22" fillId="0" borderId="0" xfId="0" applyFont="1" applyFill="1"/>
    <xf numFmtId="0" fontId="22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Continuous"/>
    </xf>
    <xf numFmtId="0" fontId="22" fillId="0" borderId="0" xfId="0" applyFont="1" applyFill="1" applyAlignment="1">
      <alignment horizontal="centerContinuous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Continuous" vertical="center"/>
    </xf>
    <xf numFmtId="0" fontId="22" fillId="0" borderId="0" xfId="0" applyFont="1" applyFill="1" applyAlignment="1">
      <alignment horizontal="centerContinuous" vertical="center"/>
    </xf>
    <xf numFmtId="165" fontId="10" fillId="0" borderId="17" xfId="0" applyNumberFormat="1" applyFont="1" applyFill="1" applyBorder="1" applyAlignment="1">
      <alignment horizontal="center" vertical="center"/>
    </xf>
    <xf numFmtId="165" fontId="10" fillId="2" borderId="17" xfId="0" applyNumberFormat="1" applyFont="1" applyFill="1" applyBorder="1" applyAlignment="1">
      <alignment horizontal="center" vertical="center"/>
    </xf>
    <xf numFmtId="165" fontId="8" fillId="0" borderId="20" xfId="0" quotePrefix="1" applyNumberFormat="1" applyFont="1" applyFill="1" applyBorder="1" applyAlignment="1">
      <alignment horizontal="center" vertical="center"/>
    </xf>
    <xf numFmtId="165" fontId="8" fillId="2" borderId="20" xfId="0" quotePrefix="1" applyNumberFormat="1" applyFont="1" applyFill="1" applyBorder="1" applyAlignment="1">
      <alignment horizontal="center" vertical="center"/>
    </xf>
    <xf numFmtId="165" fontId="3" fillId="2" borderId="47" xfId="0" applyNumberFormat="1" applyFont="1" applyFill="1" applyBorder="1" applyAlignment="1">
      <alignment horizontal="center"/>
    </xf>
    <xf numFmtId="165" fontId="18" fillId="0" borderId="43" xfId="0" applyNumberFormat="1" applyFont="1" applyFill="1" applyBorder="1"/>
    <xf numFmtId="1" fontId="3" fillId="0" borderId="48" xfId="0" applyNumberFormat="1" applyFont="1" applyFill="1" applyBorder="1" applyAlignment="1">
      <alignment horizontal="center" vertical="center"/>
    </xf>
    <xf numFmtId="165" fontId="3" fillId="0" borderId="49" xfId="0" applyNumberFormat="1" applyFont="1" applyFill="1" applyBorder="1" applyAlignment="1">
      <alignment horizontal="center"/>
    </xf>
    <xf numFmtId="165" fontId="3" fillId="0" borderId="50" xfId="0" applyNumberFormat="1" applyFont="1" applyFill="1" applyBorder="1" applyAlignment="1">
      <alignment horizontal="center"/>
    </xf>
    <xf numFmtId="165" fontId="18" fillId="0" borderId="51" xfId="0" applyNumberFormat="1" applyFont="1" applyFill="1" applyBorder="1" applyAlignment="1">
      <alignment horizontal="right"/>
    </xf>
    <xf numFmtId="165" fontId="18" fillId="0" borderId="52" xfId="0" applyNumberFormat="1" applyFont="1" applyFill="1" applyBorder="1" applyAlignment="1">
      <alignment horizontal="right"/>
    </xf>
    <xf numFmtId="165" fontId="18" fillId="0" borderId="53" xfId="0" applyNumberFormat="1" applyFont="1" applyFill="1" applyBorder="1"/>
    <xf numFmtId="165" fontId="18" fillId="0" borderId="54" xfId="0" applyNumberFormat="1" applyFont="1" applyFill="1" applyBorder="1"/>
    <xf numFmtId="165" fontId="3" fillId="0" borderId="50" xfId="0" applyNumberFormat="1" applyFont="1" applyFill="1" applyBorder="1" applyAlignment="1">
      <alignment horizontal="center" vertical="center"/>
    </xf>
    <xf numFmtId="165" fontId="3" fillId="0" borderId="55" xfId="0" applyNumberFormat="1" applyFont="1" applyFill="1" applyBorder="1" applyAlignment="1">
      <alignment horizontal="center" vertical="center" shrinkToFit="1"/>
    </xf>
    <xf numFmtId="165" fontId="3" fillId="2" borderId="58" xfId="0" applyNumberFormat="1" applyFont="1" applyFill="1" applyBorder="1" applyAlignment="1">
      <alignment horizontal="center"/>
    </xf>
    <xf numFmtId="165" fontId="3" fillId="0" borderId="59" xfId="2" applyNumberFormat="1" applyFont="1" applyFill="1" applyBorder="1" applyAlignment="1">
      <alignment horizontal="center" vertical="center" shrinkToFit="1"/>
    </xf>
    <xf numFmtId="165" fontId="3" fillId="0" borderId="50" xfId="0" applyNumberFormat="1" applyFont="1" applyFill="1" applyBorder="1" applyAlignment="1">
      <alignment horizontal="center" shrinkToFit="1"/>
    </xf>
    <xf numFmtId="165" fontId="3" fillId="0" borderId="60" xfId="0" applyNumberFormat="1" applyFont="1" applyFill="1" applyBorder="1" applyAlignment="1">
      <alignment horizontal="center" shrinkToFit="1"/>
    </xf>
    <xf numFmtId="165" fontId="3" fillId="0" borderId="61" xfId="0" quotePrefix="1" applyNumberFormat="1" applyFont="1" applyFill="1" applyBorder="1" applyAlignment="1">
      <alignment horizontal="center" shrinkToFit="1"/>
    </xf>
    <xf numFmtId="3" fontId="3" fillId="0" borderId="62" xfId="0" applyNumberFormat="1" applyFont="1" applyFill="1" applyBorder="1" applyAlignment="1">
      <alignment horizontal="center" vertical="center" shrinkToFit="1"/>
    </xf>
    <xf numFmtId="165" fontId="3" fillId="0" borderId="50" xfId="0" applyNumberFormat="1" applyFont="1" applyFill="1" applyBorder="1" applyAlignment="1">
      <alignment horizontal="center" vertical="center" shrinkToFit="1"/>
    </xf>
    <xf numFmtId="165" fontId="3" fillId="0" borderId="61" xfId="0" applyNumberFormat="1" applyFont="1" applyFill="1" applyBorder="1" applyAlignment="1">
      <alignment horizontal="center" vertical="center"/>
    </xf>
    <xf numFmtId="165" fontId="3" fillId="0" borderId="63" xfId="0" applyNumberFormat="1" applyFont="1" applyFill="1" applyBorder="1" applyAlignment="1">
      <alignment horizontal="center" vertical="center" shrinkToFit="1"/>
    </xf>
    <xf numFmtId="165" fontId="18" fillId="0" borderId="56" xfId="0" applyNumberFormat="1" applyFont="1" applyFill="1" applyBorder="1" applyAlignment="1">
      <alignment horizontal="center"/>
    </xf>
    <xf numFmtId="165" fontId="18" fillId="0" borderId="57" xfId="0" applyNumberFormat="1" applyFont="1" applyFill="1" applyBorder="1" applyAlignment="1">
      <alignment horizontal="center"/>
    </xf>
    <xf numFmtId="165" fontId="3" fillId="0" borderId="61" xfId="0" applyNumberFormat="1" applyFon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10" fontId="3" fillId="2" borderId="20" xfId="2" applyNumberFormat="1" applyFont="1" applyFill="1" applyBorder="1" applyAlignment="1">
      <alignment horizontal="center" vertical="top"/>
    </xf>
    <xf numFmtId="10" fontId="3" fillId="2" borderId="17" xfId="2" applyNumberFormat="1" applyFont="1" applyFill="1" applyBorder="1" applyAlignment="1">
      <alignment horizontal="center" vertical="top"/>
    </xf>
    <xf numFmtId="10" fontId="3" fillId="2" borderId="22" xfId="2" applyNumberFormat="1" applyFont="1" applyFill="1" applyBorder="1" applyAlignment="1">
      <alignment horizontal="center" vertical="top"/>
    </xf>
    <xf numFmtId="166" fontId="23" fillId="0" borderId="0" xfId="0" applyNumberFormat="1" applyFont="1" applyFill="1"/>
    <xf numFmtId="10" fontId="3" fillId="0" borderId="17" xfId="2" applyNumberFormat="1" applyFont="1" applyFill="1" applyBorder="1" applyAlignment="1">
      <alignment horizontal="center" vertical="top"/>
    </xf>
    <xf numFmtId="10" fontId="3" fillId="0" borderId="20" xfId="2" applyNumberFormat="1" applyFont="1" applyFill="1" applyBorder="1" applyAlignment="1">
      <alignment horizontal="center" vertical="top"/>
    </xf>
    <xf numFmtId="10" fontId="3" fillId="0" borderId="22" xfId="2" applyNumberFormat="1" applyFont="1" applyFill="1" applyBorder="1" applyAlignment="1">
      <alignment horizontal="center" vertical="top"/>
    </xf>
    <xf numFmtId="10" fontId="18" fillId="0" borderId="32" xfId="2" applyNumberFormat="1" applyFont="1" applyFill="1" applyBorder="1" applyAlignment="1">
      <alignment horizontal="center" vertical="top" shrinkToFit="1"/>
    </xf>
    <xf numFmtId="10" fontId="3" fillId="0" borderId="65" xfId="2" applyNumberFormat="1" applyFont="1" applyFill="1" applyBorder="1" applyAlignment="1">
      <alignment horizontal="center" vertical="top"/>
    </xf>
    <xf numFmtId="10" fontId="18" fillId="0" borderId="36" xfId="2" applyNumberFormat="1" applyFont="1" applyFill="1" applyBorder="1" applyAlignment="1">
      <alignment horizontal="center" vertical="top" shrinkToFit="1"/>
    </xf>
    <xf numFmtId="10" fontId="3" fillId="0" borderId="64" xfId="2" applyNumberFormat="1" applyFont="1" applyFill="1" applyBorder="1" applyAlignment="1">
      <alignment horizontal="center" vertical="top"/>
    </xf>
    <xf numFmtId="10" fontId="18" fillId="0" borderId="12" xfId="0" quotePrefix="1" applyNumberFormat="1" applyFont="1" applyFill="1" applyBorder="1" applyAlignment="1">
      <alignment horizontal="center" vertical="top" shrinkToFit="1"/>
    </xf>
    <xf numFmtId="10" fontId="18" fillId="0" borderId="6" xfId="2" applyNumberFormat="1" applyFont="1" applyFill="1" applyBorder="1" applyAlignment="1">
      <alignment horizontal="center" vertical="top" shrinkToFit="1"/>
    </xf>
    <xf numFmtId="10" fontId="3" fillId="0" borderId="7" xfId="2" applyNumberFormat="1" applyFont="1" applyFill="1" applyBorder="1" applyAlignment="1">
      <alignment horizontal="center" vertical="top"/>
    </xf>
    <xf numFmtId="10" fontId="3" fillId="0" borderId="44" xfId="2" applyNumberFormat="1" applyFont="1" applyFill="1" applyBorder="1" applyAlignment="1">
      <alignment horizontal="center" vertical="top"/>
    </xf>
    <xf numFmtId="10" fontId="18" fillId="0" borderId="35" xfId="0" quotePrefix="1" applyNumberFormat="1" applyFont="1" applyFill="1" applyBorder="1" applyAlignment="1">
      <alignment horizontal="center" vertical="top" shrinkToFit="1"/>
    </xf>
    <xf numFmtId="10" fontId="18" fillId="0" borderId="38" xfId="2" quotePrefix="1" applyNumberFormat="1" applyFont="1" applyFill="1" applyBorder="1" applyAlignment="1">
      <alignment horizontal="center" vertical="top" shrinkToFit="1"/>
    </xf>
    <xf numFmtId="10" fontId="18" fillId="0" borderId="39" xfId="2" applyNumberFormat="1" applyFont="1" applyFill="1" applyBorder="1" applyAlignment="1">
      <alignment horizontal="center" vertical="top" shrinkToFit="1"/>
    </xf>
    <xf numFmtId="10" fontId="18" fillId="0" borderId="12" xfId="2" quotePrefix="1" applyNumberFormat="1" applyFont="1" applyFill="1" applyBorder="1" applyAlignment="1">
      <alignment horizontal="center" vertical="top" shrinkToFit="1"/>
    </xf>
    <xf numFmtId="10" fontId="18" fillId="0" borderId="6" xfId="0" quotePrefix="1" applyNumberFormat="1" applyFont="1" applyFill="1" applyBorder="1" applyAlignment="1">
      <alignment horizontal="center" vertical="top" shrinkToFit="1"/>
    </xf>
    <xf numFmtId="10" fontId="3" fillId="0" borderId="0" xfId="0" applyNumberFormat="1" applyFont="1" applyFill="1" applyBorder="1" applyAlignment="1">
      <alignment horizontal="center" vertical="top"/>
    </xf>
    <xf numFmtId="10" fontId="3" fillId="0" borderId="20" xfId="0" applyNumberFormat="1" applyFont="1" applyFill="1" applyBorder="1" applyAlignment="1">
      <alignment horizontal="center" vertical="top"/>
    </xf>
    <xf numFmtId="10" fontId="3" fillId="0" borderId="66" xfId="2" applyNumberFormat="1" applyFont="1" applyFill="1" applyBorder="1" applyAlignment="1">
      <alignment horizontal="center" vertical="top"/>
    </xf>
    <xf numFmtId="10" fontId="3" fillId="0" borderId="31" xfId="0" quotePrefix="1" applyNumberFormat="1" applyFont="1" applyFill="1" applyBorder="1" applyAlignment="1">
      <alignment horizontal="center" vertical="top" shrinkToFit="1"/>
    </xf>
    <xf numFmtId="10" fontId="3" fillId="0" borderId="50" xfId="2" applyNumberFormat="1" applyFont="1" applyFill="1" applyBorder="1" applyAlignment="1">
      <alignment horizontal="center" vertical="top" shrinkToFit="1"/>
    </xf>
    <xf numFmtId="10" fontId="3" fillId="0" borderId="67" xfId="2" applyNumberFormat="1" applyFont="1" applyFill="1" applyBorder="1" applyAlignment="1">
      <alignment horizontal="center" vertical="top"/>
    </xf>
    <xf numFmtId="10" fontId="3" fillId="0" borderId="35" xfId="0" quotePrefix="1" applyNumberFormat="1" applyFont="1" applyFill="1" applyBorder="1" applyAlignment="1">
      <alignment horizontal="center" vertical="top" shrinkToFit="1"/>
    </xf>
    <xf numFmtId="10" fontId="3" fillId="0" borderId="55" xfId="2" applyNumberFormat="1" applyFont="1" applyFill="1" applyBorder="1" applyAlignment="1">
      <alignment horizontal="center" vertical="top" shrinkToFit="1"/>
    </xf>
    <xf numFmtId="10" fontId="3" fillId="0" borderId="5" xfId="2" applyNumberFormat="1" applyFont="1" applyFill="1" applyBorder="1" applyAlignment="1">
      <alignment horizontal="center" vertical="top"/>
    </xf>
    <xf numFmtId="10" fontId="3" fillId="0" borderId="12" xfId="0" quotePrefix="1" applyNumberFormat="1" applyFont="1" applyFill="1" applyBorder="1" applyAlignment="1">
      <alignment horizontal="center" vertical="top" shrinkToFit="1"/>
    </xf>
    <xf numFmtId="10" fontId="3" fillId="0" borderId="63" xfId="2" applyNumberFormat="1" applyFont="1" applyFill="1" applyBorder="1" applyAlignment="1">
      <alignment horizontal="center" vertical="top" shrinkToFit="1"/>
    </xf>
    <xf numFmtId="10" fontId="3" fillId="0" borderId="33" xfId="2" quotePrefix="1" applyNumberFormat="1" applyFont="1" applyFill="1" applyBorder="1" applyAlignment="1">
      <alignment horizontal="center" vertical="top" shrinkToFit="1"/>
    </xf>
    <xf numFmtId="10" fontId="3" fillId="0" borderId="12" xfId="2" quotePrefix="1" applyNumberFormat="1" applyFont="1" applyFill="1" applyBorder="1" applyAlignment="1">
      <alignment horizontal="center" vertical="top" shrinkToFit="1"/>
    </xf>
    <xf numFmtId="10" fontId="3" fillId="0" borderId="63" xfId="0" quotePrefix="1" applyNumberFormat="1" applyFont="1" applyFill="1" applyBorder="1" applyAlignment="1">
      <alignment horizontal="center" vertical="top" shrinkToFit="1"/>
    </xf>
    <xf numFmtId="10" fontId="3" fillId="0" borderId="22" xfId="0" applyNumberFormat="1" applyFont="1" applyFill="1" applyBorder="1" applyAlignment="1">
      <alignment horizontal="center" vertical="top"/>
    </xf>
    <xf numFmtId="10" fontId="18" fillId="0" borderId="20" xfId="2" applyNumberFormat="1" applyFont="1" applyFill="1" applyBorder="1" applyAlignment="1">
      <alignment horizontal="center" vertical="top"/>
    </xf>
    <xf numFmtId="10" fontId="18" fillId="0" borderId="20" xfId="0" applyNumberFormat="1" applyFont="1" applyFill="1" applyBorder="1" applyAlignment="1">
      <alignment horizontal="center" vertical="top"/>
    </xf>
    <xf numFmtId="10" fontId="18" fillId="2" borderId="20" xfId="2" applyNumberFormat="1" applyFont="1" applyFill="1" applyBorder="1" applyAlignment="1">
      <alignment horizontal="center" vertical="top"/>
    </xf>
    <xf numFmtId="10" fontId="18" fillId="0" borderId="31" xfId="0" quotePrefix="1" applyNumberFormat="1" applyFont="1" applyFill="1" applyBorder="1" applyAlignment="1">
      <alignment horizontal="center" vertical="top" shrinkToFit="1"/>
    </xf>
    <xf numFmtId="10" fontId="18" fillId="0" borderId="22" xfId="2" applyNumberFormat="1" applyFont="1" applyFill="1" applyBorder="1" applyAlignment="1">
      <alignment horizontal="center" vertical="top"/>
    </xf>
    <xf numFmtId="10" fontId="18" fillId="0" borderId="22" xfId="0" applyNumberFormat="1" applyFont="1" applyFill="1" applyBorder="1" applyAlignment="1">
      <alignment horizontal="center" vertical="top"/>
    </xf>
    <xf numFmtId="10" fontId="18" fillId="2" borderId="22" xfId="2" applyNumberFormat="1" applyFont="1" applyFill="1" applyBorder="1" applyAlignment="1">
      <alignment horizontal="center" vertical="top"/>
    </xf>
    <xf numFmtId="10" fontId="18" fillId="0" borderId="17" xfId="2" applyNumberFormat="1" applyFont="1" applyFill="1" applyBorder="1" applyAlignment="1">
      <alignment horizontal="center" vertical="top"/>
    </xf>
    <xf numFmtId="10" fontId="18" fillId="0" borderId="17" xfId="0" applyNumberFormat="1" applyFont="1" applyFill="1" applyBorder="1" applyAlignment="1">
      <alignment horizontal="center" vertical="top"/>
    </xf>
    <xf numFmtId="10" fontId="18" fillId="2" borderId="17" xfId="2" applyNumberFormat="1" applyFont="1" applyFill="1" applyBorder="1" applyAlignment="1">
      <alignment horizontal="center" vertical="top"/>
    </xf>
    <xf numFmtId="10" fontId="10" fillId="0" borderId="0" xfId="0" quotePrefix="1" applyNumberFormat="1" applyFont="1" applyFill="1" applyBorder="1" applyAlignment="1">
      <alignment horizontal="center" vertical="center"/>
    </xf>
    <xf numFmtId="10" fontId="3" fillId="3" borderId="68" xfId="2" applyNumberFormat="1" applyFont="1" applyFill="1" applyBorder="1" applyAlignment="1">
      <alignment horizontal="center" vertical="top"/>
    </xf>
    <xf numFmtId="10" fontId="3" fillId="4" borderId="68" xfId="2" applyNumberFormat="1" applyFont="1" applyFill="1" applyBorder="1" applyAlignment="1">
      <alignment horizontal="center" vertical="top"/>
    </xf>
    <xf numFmtId="165" fontId="3" fillId="4" borderId="68" xfId="0" applyNumberFormat="1" applyFont="1" applyFill="1" applyBorder="1" applyAlignment="1">
      <alignment horizontal="center"/>
    </xf>
    <xf numFmtId="165" fontId="3" fillId="3" borderId="68" xfId="0" applyNumberFormat="1" applyFont="1" applyFill="1" applyBorder="1" applyAlignment="1">
      <alignment horizontal="center"/>
    </xf>
    <xf numFmtId="165" fontId="18" fillId="3" borderId="0" xfId="0" applyNumberFormat="1" applyFont="1" applyFill="1" applyBorder="1" applyAlignment="1">
      <alignment horizontal="center"/>
    </xf>
    <xf numFmtId="165" fontId="3" fillId="3" borderId="0" xfId="0" applyNumberFormat="1" applyFont="1" applyFill="1" applyBorder="1" applyAlignment="1">
      <alignment horizontal="center" vertical="center"/>
    </xf>
    <xf numFmtId="165" fontId="3" fillId="3" borderId="68" xfId="0" applyNumberFormat="1" applyFont="1" applyFill="1" applyBorder="1" applyAlignment="1">
      <alignment horizontal="center" vertical="center"/>
    </xf>
    <xf numFmtId="165" fontId="3" fillId="4" borderId="69" xfId="0" applyNumberFormat="1" applyFont="1" applyFill="1" applyBorder="1" applyAlignment="1">
      <alignment horizontal="center" vertical="center"/>
    </xf>
    <xf numFmtId="165" fontId="5" fillId="4" borderId="68" xfId="0" applyNumberFormat="1" applyFont="1" applyFill="1" applyBorder="1" applyAlignment="1">
      <alignment horizontal="center" vertical="center"/>
    </xf>
    <xf numFmtId="0" fontId="30" fillId="4" borderId="0" xfId="3" quotePrefix="1" applyFont="1" applyFill="1"/>
    <xf numFmtId="0" fontId="0" fillId="0" borderId="0" xfId="0" applyFill="1" applyBorder="1" applyAlignment="1">
      <alignment vertical="center"/>
    </xf>
    <xf numFmtId="0" fontId="18" fillId="4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164" fontId="9" fillId="0" borderId="0" xfId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/>
    </xf>
    <xf numFmtId="165" fontId="18" fillId="4" borderId="0" xfId="0" applyNumberFormat="1" applyFont="1" applyFill="1" applyBorder="1" applyAlignment="1">
      <alignment horizontal="center"/>
    </xf>
    <xf numFmtId="164" fontId="9" fillId="4" borderId="0" xfId="1" applyFont="1" applyFill="1" applyBorder="1" applyAlignment="1">
      <alignment horizontal="right" vertical="top"/>
    </xf>
    <xf numFmtId="164" fontId="7" fillId="4" borderId="0" xfId="1" applyFont="1" applyFill="1" applyBorder="1" applyAlignment="1">
      <alignment vertical="top" wrapText="1"/>
    </xf>
    <xf numFmtId="0" fontId="3" fillId="4" borderId="0" xfId="0" applyFont="1" applyFill="1" applyBorder="1" applyAlignment="1">
      <alignment horizontal="center" vertical="top"/>
    </xf>
    <xf numFmtId="10" fontId="3" fillId="4" borderId="0" xfId="0" applyNumberFormat="1" applyFont="1" applyFill="1" applyBorder="1" applyAlignment="1">
      <alignment horizontal="center" vertical="top"/>
    </xf>
    <xf numFmtId="10" fontId="3" fillId="4" borderId="0" xfId="2" applyNumberFormat="1" applyFont="1" applyFill="1" applyBorder="1" applyAlignment="1">
      <alignment horizontal="center" vertical="top"/>
    </xf>
    <xf numFmtId="164" fontId="7" fillId="3" borderId="0" xfId="1" applyFont="1" applyFill="1" applyBorder="1" applyAlignment="1"/>
    <xf numFmtId="0" fontId="3" fillId="3" borderId="0" xfId="0" applyFont="1" applyFill="1" applyBorder="1" applyAlignment="1">
      <alignment horizontal="center"/>
    </xf>
    <xf numFmtId="165" fontId="3" fillId="3" borderId="0" xfId="0" applyNumberFormat="1" applyFont="1" applyFill="1" applyBorder="1" applyAlignment="1">
      <alignment horizontal="center"/>
    </xf>
    <xf numFmtId="164" fontId="7" fillId="3" borderId="0" xfId="1" applyFont="1" applyFill="1" applyBorder="1" applyAlignment="1">
      <alignment vertical="top" wrapText="1"/>
    </xf>
    <xf numFmtId="0" fontId="3" fillId="3" borderId="0" xfId="0" applyFont="1" applyFill="1" applyBorder="1" applyAlignment="1">
      <alignment horizontal="center" vertical="top"/>
    </xf>
    <xf numFmtId="10" fontId="3" fillId="3" borderId="0" xfId="2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10" fontId="3" fillId="0" borderId="0" xfId="2" applyNumberFormat="1" applyFont="1" applyFill="1" applyBorder="1" applyAlignment="1">
      <alignment horizontal="center" vertical="top"/>
    </xf>
    <xf numFmtId="164" fontId="9" fillId="3" borderId="0" xfId="1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/>
    </xf>
    <xf numFmtId="165" fontId="5" fillId="3" borderId="0" xfId="0" applyNumberFormat="1" applyFont="1" applyFill="1" applyBorder="1" applyAlignment="1">
      <alignment horizontal="center" vertical="center"/>
    </xf>
    <xf numFmtId="164" fontId="7" fillId="3" borderId="0" xfId="1" applyFont="1" applyFill="1" applyBorder="1" applyAlignment="1">
      <alignment vertical="center"/>
    </xf>
    <xf numFmtId="164" fontId="7" fillId="0" borderId="0" xfId="1" applyFont="1" applyFill="1" applyBorder="1" applyAlignment="1">
      <alignment horizontal="right"/>
    </xf>
    <xf numFmtId="164" fontId="7" fillId="0" borderId="0" xfId="1" applyFont="1" applyFill="1" applyBorder="1" applyAlignment="1">
      <alignment horizontal="right" vertical="top"/>
    </xf>
    <xf numFmtId="164" fontId="7" fillId="3" borderId="0" xfId="1" applyFont="1" applyFill="1" applyBorder="1" applyAlignment="1">
      <alignment horizontal="right"/>
    </xf>
    <xf numFmtId="164" fontId="7" fillId="3" borderId="0" xfId="1" applyFont="1" applyFill="1" applyBorder="1" applyAlignment="1">
      <alignment horizontal="right" vertical="top"/>
    </xf>
    <xf numFmtId="164" fontId="7" fillId="3" borderId="0" xfId="1" applyFont="1" applyFill="1" applyBorder="1" applyAlignment="1">
      <alignment vertical="top"/>
    </xf>
    <xf numFmtId="165" fontId="5" fillId="4" borderId="0" xfId="0" applyNumberFormat="1" applyFont="1" applyFill="1" applyBorder="1" applyAlignment="1">
      <alignment horizontal="center" vertical="center"/>
    </xf>
    <xf numFmtId="165" fontId="3" fillId="4" borderId="0" xfId="0" applyNumberFormat="1" applyFont="1" applyFill="1" applyBorder="1" applyAlignment="1">
      <alignment horizontal="center" vertical="center"/>
    </xf>
    <xf numFmtId="3" fontId="3" fillId="3" borderId="0" xfId="0" applyNumberFormat="1" applyFont="1" applyFill="1" applyBorder="1" applyAlignment="1">
      <alignment horizontal="center" vertical="center"/>
    </xf>
    <xf numFmtId="3" fontId="18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vertical="center"/>
    </xf>
    <xf numFmtId="1" fontId="3" fillId="4" borderId="71" xfId="0" applyNumberFormat="1" applyFont="1" applyFill="1" applyBorder="1" applyAlignment="1">
      <alignment horizontal="center" vertical="center"/>
    </xf>
    <xf numFmtId="1" fontId="3" fillId="3" borderId="71" xfId="0" applyNumberFormat="1" applyFont="1" applyFill="1" applyBorder="1" applyAlignment="1">
      <alignment horizontal="center" vertical="center"/>
    </xf>
    <xf numFmtId="165" fontId="3" fillId="4" borderId="71" xfId="0" applyNumberFormat="1" applyFont="1" applyFill="1" applyBorder="1" applyAlignment="1">
      <alignment horizontal="center"/>
    </xf>
    <xf numFmtId="10" fontId="3" fillId="4" borderId="71" xfId="2" applyNumberFormat="1" applyFont="1" applyFill="1" applyBorder="1" applyAlignment="1">
      <alignment horizontal="center" vertical="top"/>
    </xf>
    <xf numFmtId="165" fontId="3" fillId="3" borderId="71" xfId="0" applyNumberFormat="1" applyFont="1" applyFill="1" applyBorder="1" applyAlignment="1">
      <alignment horizontal="center"/>
    </xf>
    <xf numFmtId="10" fontId="3" fillId="3" borderId="71" xfId="2" applyNumberFormat="1" applyFont="1" applyFill="1" applyBorder="1" applyAlignment="1">
      <alignment horizontal="center" vertical="top"/>
    </xf>
    <xf numFmtId="165" fontId="5" fillId="3" borderId="71" xfId="0" applyNumberFormat="1" applyFont="1" applyFill="1" applyBorder="1" applyAlignment="1">
      <alignment horizontal="center" vertical="center"/>
    </xf>
    <xf numFmtId="165" fontId="3" fillId="3" borderId="71" xfId="0" applyNumberFormat="1" applyFont="1" applyFill="1" applyBorder="1" applyAlignment="1">
      <alignment horizontal="center" vertical="center"/>
    </xf>
    <xf numFmtId="165" fontId="5" fillId="4" borderId="71" xfId="0" applyNumberFormat="1" applyFont="1" applyFill="1" applyBorder="1" applyAlignment="1">
      <alignment horizontal="center" vertical="center"/>
    </xf>
    <xf numFmtId="165" fontId="3" fillId="4" borderId="71" xfId="0" applyNumberFormat="1" applyFont="1" applyFill="1" applyBorder="1" applyAlignment="1">
      <alignment horizontal="center" vertical="center"/>
    </xf>
    <xf numFmtId="3" fontId="3" fillId="3" borderId="71" xfId="0" applyNumberFormat="1" applyFont="1" applyFill="1" applyBorder="1" applyAlignment="1">
      <alignment horizontal="center" vertical="center"/>
    </xf>
    <xf numFmtId="165" fontId="3" fillId="4" borderId="70" xfId="0" applyNumberFormat="1" applyFont="1" applyFill="1" applyBorder="1" applyAlignment="1">
      <alignment horizontal="center" vertical="center"/>
    </xf>
    <xf numFmtId="1" fontId="3" fillId="4" borderId="68" xfId="0" applyNumberFormat="1" applyFont="1" applyFill="1" applyBorder="1" applyAlignment="1">
      <alignment horizontal="center" vertical="center"/>
    </xf>
    <xf numFmtId="1" fontId="3" fillId="3" borderId="68" xfId="0" applyNumberFormat="1" applyFont="1" applyFill="1" applyBorder="1" applyAlignment="1">
      <alignment horizontal="center" vertical="center"/>
    </xf>
    <xf numFmtId="165" fontId="5" fillId="3" borderId="68" xfId="0" applyNumberFormat="1" applyFont="1" applyFill="1" applyBorder="1" applyAlignment="1">
      <alignment horizontal="center" vertical="center"/>
    </xf>
    <xf numFmtId="165" fontId="3" fillId="4" borderId="68" xfId="0" applyNumberFormat="1" applyFont="1" applyFill="1" applyBorder="1" applyAlignment="1">
      <alignment horizontal="center" vertical="center"/>
    </xf>
    <xf numFmtId="3" fontId="3" fillId="3" borderId="68" xfId="0" applyNumberFormat="1" applyFont="1" applyFill="1" applyBorder="1" applyAlignment="1">
      <alignment horizontal="center" vertical="center"/>
    </xf>
    <xf numFmtId="0" fontId="18" fillId="0" borderId="71" xfId="0" applyFont="1" applyFill="1" applyBorder="1" applyAlignment="1">
      <alignment horizontal="center" vertical="center"/>
    </xf>
    <xf numFmtId="1" fontId="18" fillId="0" borderId="71" xfId="0" applyNumberFormat="1" applyFont="1" applyFill="1" applyBorder="1" applyAlignment="1">
      <alignment horizontal="center" vertical="center"/>
    </xf>
    <xf numFmtId="0" fontId="18" fillId="3" borderId="71" xfId="0" applyFont="1" applyFill="1" applyBorder="1" applyAlignment="1">
      <alignment horizontal="center" vertical="center"/>
    </xf>
    <xf numFmtId="1" fontId="18" fillId="3" borderId="71" xfId="0" applyNumberFormat="1" applyFont="1" applyFill="1" applyBorder="1" applyAlignment="1">
      <alignment horizontal="center" vertical="center"/>
    </xf>
    <xf numFmtId="165" fontId="18" fillId="0" borderId="71" xfId="0" applyNumberFormat="1" applyFont="1" applyFill="1" applyBorder="1" applyAlignment="1">
      <alignment horizontal="center"/>
    </xf>
    <xf numFmtId="165" fontId="18" fillId="0" borderId="71" xfId="0" applyNumberFormat="1" applyFont="1" applyFill="1" applyBorder="1" applyAlignment="1">
      <alignment horizontal="center" shrinkToFit="1"/>
    </xf>
    <xf numFmtId="10" fontId="18" fillId="4" borderId="71" xfId="0" applyNumberFormat="1" applyFont="1" applyFill="1" applyBorder="1" applyAlignment="1">
      <alignment horizontal="center" vertical="center"/>
    </xf>
    <xf numFmtId="10" fontId="18" fillId="4" borderId="71" xfId="2" applyNumberFormat="1" applyFont="1" applyFill="1" applyBorder="1" applyAlignment="1">
      <alignment horizontal="center" vertical="top" shrinkToFit="1"/>
    </xf>
    <xf numFmtId="165" fontId="18" fillId="3" borderId="71" xfId="0" applyNumberFormat="1" applyFont="1" applyFill="1" applyBorder="1" applyAlignment="1">
      <alignment horizontal="center"/>
    </xf>
    <xf numFmtId="165" fontId="18" fillId="3" borderId="71" xfId="0" applyNumberFormat="1" applyFont="1" applyFill="1" applyBorder="1" applyAlignment="1">
      <alignment horizontal="center" shrinkToFit="1"/>
    </xf>
    <xf numFmtId="10" fontId="18" fillId="3" borderId="71" xfId="0" applyNumberFormat="1" applyFont="1" applyFill="1" applyBorder="1" applyAlignment="1">
      <alignment horizontal="center" vertical="center"/>
    </xf>
    <xf numFmtId="10" fontId="18" fillId="3" borderId="71" xfId="2" applyNumberFormat="1" applyFont="1" applyFill="1" applyBorder="1" applyAlignment="1">
      <alignment horizontal="center" vertical="top" shrinkToFit="1"/>
    </xf>
    <xf numFmtId="10" fontId="18" fillId="0" borderId="71" xfId="0" quotePrefix="1" applyNumberFormat="1" applyFont="1" applyFill="1" applyBorder="1" applyAlignment="1">
      <alignment horizontal="center" vertical="top" shrinkToFit="1"/>
    </xf>
    <xf numFmtId="10" fontId="18" fillId="0" borderId="71" xfId="2" applyNumberFormat="1" applyFont="1" applyFill="1" applyBorder="1" applyAlignment="1">
      <alignment horizontal="center" vertical="top" shrinkToFit="1"/>
    </xf>
    <xf numFmtId="165" fontId="19" fillId="3" borderId="71" xfId="0" applyNumberFormat="1" applyFont="1" applyFill="1" applyBorder="1" applyAlignment="1">
      <alignment horizontal="center" vertical="center" shrinkToFit="1"/>
    </xf>
    <xf numFmtId="165" fontId="18" fillId="3" borderId="71" xfId="0" quotePrefix="1" applyNumberFormat="1" applyFont="1" applyFill="1" applyBorder="1" applyAlignment="1">
      <alignment horizontal="center" vertical="center" shrinkToFit="1"/>
    </xf>
    <xf numFmtId="165" fontId="18" fillId="3" borderId="71" xfId="0" applyNumberFormat="1" applyFont="1" applyFill="1" applyBorder="1" applyAlignment="1">
      <alignment horizontal="center" vertical="center" shrinkToFit="1"/>
    </xf>
    <xf numFmtId="10" fontId="18" fillId="3" borderId="71" xfId="0" quotePrefix="1" applyNumberFormat="1" applyFont="1" applyFill="1" applyBorder="1" applyAlignment="1">
      <alignment horizontal="center" vertical="top" shrinkToFit="1"/>
    </xf>
    <xf numFmtId="165" fontId="19" fillId="0" borderId="71" xfId="0" applyNumberFormat="1" applyFont="1" applyFill="1" applyBorder="1" applyAlignment="1">
      <alignment horizontal="center" vertical="center" shrinkToFit="1"/>
    </xf>
    <xf numFmtId="165" fontId="19" fillId="0" borderId="71" xfId="2" applyNumberFormat="1" applyFont="1" applyFill="1" applyBorder="1" applyAlignment="1">
      <alignment horizontal="center" vertical="center" shrinkToFit="1"/>
    </xf>
    <xf numFmtId="165" fontId="18" fillId="0" borderId="71" xfId="0" quotePrefix="1" applyNumberFormat="1" applyFont="1" applyFill="1" applyBorder="1" applyAlignment="1">
      <alignment horizontal="center" vertical="center" shrinkToFit="1"/>
    </xf>
    <xf numFmtId="165" fontId="18" fillId="0" borderId="71" xfId="2" applyNumberFormat="1" applyFont="1" applyFill="1" applyBorder="1" applyAlignment="1">
      <alignment horizontal="center" vertical="center" shrinkToFit="1"/>
    </xf>
    <xf numFmtId="10" fontId="18" fillId="3" borderId="71" xfId="2" quotePrefix="1" applyNumberFormat="1" applyFont="1" applyFill="1" applyBorder="1" applyAlignment="1">
      <alignment horizontal="center" vertical="top" shrinkToFit="1"/>
    </xf>
    <xf numFmtId="165" fontId="18" fillId="0" borderId="71" xfId="0" quotePrefix="1" applyNumberFormat="1" applyFont="1" applyFill="1" applyBorder="1" applyAlignment="1">
      <alignment horizontal="center" shrinkToFit="1"/>
    </xf>
    <xf numFmtId="10" fontId="18" fillId="0" borderId="71" xfId="2" quotePrefix="1" applyNumberFormat="1" applyFont="1" applyFill="1" applyBorder="1" applyAlignment="1">
      <alignment horizontal="center" vertical="top" shrinkToFit="1"/>
    </xf>
    <xf numFmtId="3" fontId="18" fillId="3" borderId="71" xfId="0" quotePrefix="1" applyNumberFormat="1" applyFont="1" applyFill="1" applyBorder="1" applyAlignment="1">
      <alignment horizontal="center" vertical="center" shrinkToFit="1"/>
    </xf>
    <xf numFmtId="3" fontId="18" fillId="3" borderId="71" xfId="0" applyNumberFormat="1" applyFont="1" applyFill="1" applyBorder="1" applyAlignment="1">
      <alignment horizontal="center" vertical="center" shrinkToFit="1"/>
    </xf>
    <xf numFmtId="165" fontId="18" fillId="0" borderId="70" xfId="0" quotePrefix="1" applyNumberFormat="1" applyFont="1" applyFill="1" applyBorder="1" applyAlignment="1">
      <alignment horizontal="center" vertical="center" shrinkToFit="1"/>
    </xf>
    <xf numFmtId="165" fontId="18" fillId="0" borderId="70" xfId="0" applyNumberFormat="1" applyFont="1" applyFill="1" applyBorder="1" applyAlignment="1">
      <alignment horizontal="center" vertical="center" shrinkToFit="1"/>
    </xf>
    <xf numFmtId="0" fontId="7" fillId="5" borderId="76" xfId="3" applyFont="1" applyBorder="1"/>
    <xf numFmtId="0" fontId="28" fillId="5" borderId="74" xfId="3" applyFont="1" applyBorder="1" applyAlignment="1">
      <alignment horizontal="center" vertical="top" shrinkToFit="1"/>
    </xf>
    <xf numFmtId="0" fontId="25" fillId="5" borderId="74" xfId="3" applyFont="1" applyBorder="1" applyAlignment="1">
      <alignment horizontal="center" vertical="top" wrapText="1"/>
    </xf>
    <xf numFmtId="0" fontId="29" fillId="5" borderId="74" xfId="3" applyFont="1" applyBorder="1" applyAlignment="1">
      <alignment horizontal="center" vertical="top" wrapText="1"/>
    </xf>
    <xf numFmtId="0" fontId="27" fillId="5" borderId="74" xfId="3" applyFont="1" applyBorder="1" applyAlignment="1">
      <alignment horizontal="center" vertical="top" shrinkToFit="1"/>
    </xf>
    <xf numFmtId="0" fontId="27" fillId="5" borderId="72" xfId="3" applyFont="1" applyBorder="1" applyAlignment="1">
      <alignment horizontal="center" vertical="top" shrinkToFit="1"/>
    </xf>
    <xf numFmtId="0" fontId="0" fillId="4" borderId="0" xfId="3" applyFont="1" applyFill="1" applyAlignment="1">
      <alignment horizontal="center"/>
    </xf>
    <xf numFmtId="0" fontId="25" fillId="5" borderId="73" xfId="3" applyFont="1" applyBorder="1" applyAlignment="1">
      <alignment horizontal="center"/>
    </xf>
    <xf numFmtId="0" fontId="25" fillId="5" borderId="74" xfId="3" applyFont="1" applyBorder="1" applyAlignment="1">
      <alignment horizontal="center" vertical="top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7" fillId="3" borderId="0" xfId="5" applyFont="1" applyBorder="1" applyAlignment="1">
      <alignment horizontal="center" vertical="center"/>
    </xf>
    <xf numFmtId="0" fontId="7" fillId="3" borderId="0" xfId="5" applyFont="1" applyBorder="1" applyAlignment="1">
      <alignment horizontal="center"/>
    </xf>
    <xf numFmtId="0" fontId="7" fillId="3" borderId="0" xfId="5" applyFont="1" applyBorder="1" applyAlignment="1">
      <alignment horizontal="center" vertical="top"/>
    </xf>
    <xf numFmtId="0" fontId="7" fillId="3" borderId="0" xfId="5" applyFont="1" applyBorder="1" applyAlignment="1">
      <alignment vertical="center"/>
    </xf>
    <xf numFmtId="10" fontId="3" fillId="3" borderId="77" xfId="2" applyNumberFormat="1" applyFont="1" applyFill="1" applyBorder="1" applyAlignment="1">
      <alignment horizontal="center" vertical="top"/>
    </xf>
    <xf numFmtId="165" fontId="18" fillId="0" borderId="77" xfId="0" applyNumberFormat="1" applyFont="1" applyFill="1" applyBorder="1"/>
    <xf numFmtId="165" fontId="18" fillId="3" borderId="77" xfId="5" applyNumberFormat="1" applyFont="1" applyBorder="1" applyAlignment="1">
      <alignment horizontal="right"/>
    </xf>
    <xf numFmtId="165" fontId="18" fillId="3" borderId="77" xfId="5" applyNumberFormat="1" applyFont="1" applyBorder="1" applyAlignment="1">
      <alignment horizontal="center"/>
    </xf>
    <xf numFmtId="165" fontId="18" fillId="0" borderId="0" xfId="0" applyNumberFormat="1" applyFont="1" applyFill="1" applyBorder="1" applyAlignment="1">
      <alignment horizontal="right"/>
    </xf>
    <xf numFmtId="165" fontId="18" fillId="0" borderId="78" xfId="0" applyNumberFormat="1" applyFont="1" applyFill="1" applyBorder="1"/>
    <xf numFmtId="165" fontId="18" fillId="0" borderId="71" xfId="0" applyNumberFormat="1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/>
    </xf>
    <xf numFmtId="4" fontId="18" fillId="0" borderId="0" xfId="0" applyNumberFormat="1" applyFont="1" applyFill="1" applyBorder="1"/>
    <xf numFmtId="164" fontId="9" fillId="0" borderId="0" xfId="1" applyFont="1" applyFill="1" applyBorder="1" applyAlignment="1">
      <alignment horizontal="right" vertical="top"/>
    </xf>
    <xf numFmtId="1" fontId="3" fillId="0" borderId="71" xfId="0" applyNumberFormat="1" applyFont="1" applyFill="1" applyBorder="1" applyAlignment="1">
      <alignment horizontal="center" vertical="center"/>
    </xf>
    <xf numFmtId="165" fontId="3" fillId="0" borderId="71" xfId="0" applyNumberFormat="1" applyFont="1" applyFill="1" applyBorder="1" applyAlignment="1">
      <alignment horizontal="center"/>
    </xf>
    <xf numFmtId="10" fontId="3" fillId="0" borderId="71" xfId="2" applyNumberFormat="1" applyFont="1" applyFill="1" applyBorder="1" applyAlignment="1">
      <alignment horizontal="center" vertical="top"/>
    </xf>
    <xf numFmtId="165" fontId="5" fillId="0" borderId="71" xfId="0" applyNumberFormat="1" applyFont="1" applyFill="1" applyBorder="1" applyAlignment="1">
      <alignment horizontal="center" vertical="center"/>
    </xf>
    <xf numFmtId="165" fontId="3" fillId="0" borderId="71" xfId="0" applyNumberFormat="1" applyFont="1" applyFill="1" applyBorder="1" applyAlignment="1">
      <alignment horizontal="center" vertical="center"/>
    </xf>
    <xf numFmtId="165" fontId="3" fillId="0" borderId="70" xfId="0" applyNumberFormat="1" applyFont="1" applyFill="1" applyBorder="1" applyAlignment="1">
      <alignment horizontal="center" vertical="center"/>
    </xf>
    <xf numFmtId="10" fontId="18" fillId="0" borderId="71" xfId="0" applyNumberFormat="1" applyFont="1" applyFill="1" applyBorder="1" applyAlignment="1">
      <alignment horizontal="center" vertical="center"/>
    </xf>
    <xf numFmtId="165" fontId="10" fillId="0" borderId="71" xfId="0" quotePrefix="1" applyNumberFormat="1" applyFont="1" applyFill="1" applyBorder="1" applyAlignment="1">
      <alignment horizontal="center" vertical="center"/>
    </xf>
    <xf numFmtId="0" fontId="0" fillId="3" borderId="0" xfId="5" applyFont="1" applyBorder="1" applyAlignment="1">
      <alignment vertical="center"/>
    </xf>
    <xf numFmtId="0" fontId="3" fillId="3" borderId="0" xfId="5" applyFont="1" applyBorder="1" applyAlignment="1">
      <alignment horizontal="center" vertical="center"/>
    </xf>
    <xf numFmtId="1" fontId="3" fillId="3" borderId="71" xfId="5" applyNumberFormat="1" applyFont="1" applyBorder="1" applyAlignment="1">
      <alignment horizontal="center" vertical="center"/>
    </xf>
    <xf numFmtId="0" fontId="18" fillId="3" borderId="0" xfId="5" applyFont="1" applyBorder="1" applyAlignment="1">
      <alignment horizontal="center" vertical="center"/>
    </xf>
    <xf numFmtId="0" fontId="18" fillId="3" borderId="71" xfId="5" applyFont="1" applyBorder="1" applyAlignment="1">
      <alignment horizontal="center" vertical="center"/>
    </xf>
    <xf numFmtId="1" fontId="18" fillId="3" borderId="71" xfId="5" applyNumberFormat="1" applyFont="1" applyBorder="1" applyAlignment="1">
      <alignment horizontal="center" vertical="center"/>
    </xf>
    <xf numFmtId="164" fontId="9" fillId="3" borderId="0" xfId="5" applyNumberFormat="1" applyFont="1" applyBorder="1" applyAlignment="1">
      <alignment vertical="center"/>
    </xf>
    <xf numFmtId="0" fontId="8" fillId="3" borderId="0" xfId="5" applyFont="1" applyBorder="1" applyAlignment="1">
      <alignment horizontal="center" vertical="center"/>
    </xf>
    <xf numFmtId="165" fontId="5" fillId="3" borderId="0" xfId="5" applyNumberFormat="1" applyFont="1" applyBorder="1" applyAlignment="1">
      <alignment horizontal="center" vertical="center"/>
    </xf>
    <xf numFmtId="165" fontId="5" fillId="3" borderId="71" xfId="5" applyNumberFormat="1" applyFont="1" applyBorder="1" applyAlignment="1">
      <alignment horizontal="center" vertical="center"/>
    </xf>
    <xf numFmtId="165" fontId="19" fillId="3" borderId="71" xfId="5" applyNumberFormat="1" applyFont="1" applyBorder="1" applyAlignment="1">
      <alignment horizontal="center" vertical="center" shrinkToFit="1"/>
    </xf>
    <xf numFmtId="164" fontId="7" fillId="3" borderId="0" xfId="5" applyNumberFormat="1" applyFont="1" applyBorder="1" applyAlignment="1">
      <alignment vertical="center"/>
    </xf>
    <xf numFmtId="165" fontId="3" fillId="3" borderId="0" xfId="5" applyNumberFormat="1" applyFont="1" applyBorder="1" applyAlignment="1">
      <alignment horizontal="center" vertical="center"/>
    </xf>
    <xf numFmtId="165" fontId="3" fillId="3" borderId="71" xfId="5" applyNumberFormat="1" applyFont="1" applyBorder="1" applyAlignment="1">
      <alignment horizontal="center" vertical="center"/>
    </xf>
    <xf numFmtId="165" fontId="18" fillId="3" borderId="71" xfId="5" quotePrefix="1" applyNumberFormat="1" applyFont="1" applyBorder="1" applyAlignment="1">
      <alignment horizontal="center" vertical="center" shrinkToFit="1"/>
    </xf>
    <xf numFmtId="165" fontId="18" fillId="3" borderId="71" xfId="5" applyNumberFormat="1" applyFont="1" applyBorder="1" applyAlignment="1">
      <alignment horizontal="center" vertical="center" shrinkToFit="1"/>
    </xf>
    <xf numFmtId="164" fontId="7" fillId="3" borderId="0" xfId="5" applyNumberFormat="1" applyFont="1" applyBorder="1" applyAlignment="1">
      <alignment horizontal="right"/>
    </xf>
    <xf numFmtId="164" fontId="7" fillId="3" borderId="0" xfId="5" applyNumberFormat="1" applyFont="1" applyBorder="1" applyAlignment="1"/>
    <xf numFmtId="0" fontId="3" fillId="3" borderId="0" xfId="5" applyFont="1" applyBorder="1" applyAlignment="1">
      <alignment horizontal="center"/>
    </xf>
    <xf numFmtId="165" fontId="3" fillId="3" borderId="0" xfId="5" applyNumberFormat="1" applyFont="1" applyBorder="1" applyAlignment="1">
      <alignment horizontal="center"/>
    </xf>
    <xf numFmtId="165" fontId="3" fillId="3" borderId="71" xfId="5" applyNumberFormat="1" applyFont="1" applyBorder="1" applyAlignment="1">
      <alignment horizontal="center"/>
    </xf>
    <xf numFmtId="165" fontId="18" fillId="3" borderId="0" xfId="5" applyNumberFormat="1" applyFont="1" applyBorder="1" applyAlignment="1">
      <alignment horizontal="center"/>
    </xf>
    <xf numFmtId="165" fontId="18" fillId="3" borderId="71" xfId="5" applyNumberFormat="1" applyFont="1" applyBorder="1" applyAlignment="1">
      <alignment horizontal="center" shrinkToFit="1"/>
    </xf>
    <xf numFmtId="164" fontId="7" fillId="3" borderId="0" xfId="5" applyNumberFormat="1" applyFont="1" applyBorder="1" applyAlignment="1">
      <alignment horizontal="right" vertical="top"/>
    </xf>
    <xf numFmtId="164" fontId="7" fillId="3" borderId="0" xfId="5" applyNumberFormat="1" applyFont="1" applyBorder="1" applyAlignment="1">
      <alignment vertical="top"/>
    </xf>
    <xf numFmtId="0" fontId="3" fillId="3" borderId="0" xfId="5" applyFont="1" applyBorder="1" applyAlignment="1">
      <alignment horizontal="center" vertical="top"/>
    </xf>
    <xf numFmtId="10" fontId="3" fillId="3" borderId="0" xfId="5" applyNumberFormat="1" applyFont="1" applyBorder="1" applyAlignment="1">
      <alignment horizontal="center" vertical="top"/>
    </xf>
    <xf numFmtId="10" fontId="3" fillId="3" borderId="71" xfId="5" applyNumberFormat="1" applyFont="1" applyBorder="1" applyAlignment="1">
      <alignment horizontal="center" vertical="top"/>
    </xf>
    <xf numFmtId="10" fontId="18" fillId="3" borderId="71" xfId="5" quotePrefix="1" applyNumberFormat="1" applyFont="1" applyBorder="1" applyAlignment="1">
      <alignment horizontal="center" vertical="top" shrinkToFit="1"/>
    </xf>
    <xf numFmtId="10" fontId="18" fillId="3" borderId="71" xfId="5" applyNumberFormat="1" applyFont="1" applyBorder="1" applyAlignment="1">
      <alignment horizontal="center" vertical="top" shrinkToFit="1"/>
    </xf>
    <xf numFmtId="4" fontId="18" fillId="3" borderId="0" xfId="5" applyNumberFormat="1" applyFont="1" applyBorder="1" applyAlignment="1">
      <alignment horizontal="right"/>
    </xf>
    <xf numFmtId="165" fontId="18" fillId="3" borderId="71" xfId="5" applyNumberFormat="1" applyFont="1" applyBorder="1" applyAlignment="1">
      <alignment horizontal="center"/>
    </xf>
    <xf numFmtId="164" fontId="7" fillId="3" borderId="0" xfId="5" applyNumberFormat="1" applyFont="1" applyBorder="1" applyAlignment="1">
      <alignment vertical="top" wrapText="1"/>
    </xf>
    <xf numFmtId="10" fontId="18" fillId="3" borderId="71" xfId="5" applyNumberFormat="1" applyFont="1" applyBorder="1" applyAlignment="1">
      <alignment horizontal="center" vertical="center"/>
    </xf>
    <xf numFmtId="3" fontId="3" fillId="3" borderId="0" xfId="5" applyNumberFormat="1" applyFont="1" applyBorder="1" applyAlignment="1">
      <alignment horizontal="center" vertical="center"/>
    </xf>
    <xf numFmtId="3" fontId="3" fillId="3" borderId="71" xfId="5" applyNumberFormat="1" applyFont="1" applyBorder="1" applyAlignment="1">
      <alignment horizontal="center" vertical="center"/>
    </xf>
    <xf numFmtId="3" fontId="18" fillId="3" borderId="0" xfId="5" applyNumberFormat="1" applyFont="1" applyBorder="1" applyAlignment="1">
      <alignment horizontal="center" vertical="center"/>
    </xf>
    <xf numFmtId="3" fontId="18" fillId="3" borderId="71" xfId="5" quotePrefix="1" applyNumberFormat="1" applyFont="1" applyBorder="1" applyAlignment="1">
      <alignment horizontal="center" vertical="center" shrinkToFit="1"/>
    </xf>
    <xf numFmtId="3" fontId="18" fillId="3" borderId="71" xfId="5" applyNumberFormat="1" applyFont="1" applyBorder="1" applyAlignment="1">
      <alignment horizontal="center" vertical="center" shrinkToFit="1"/>
    </xf>
    <xf numFmtId="0" fontId="33" fillId="5" borderId="74" xfId="3" applyFont="1" applyBorder="1" applyAlignment="1">
      <alignment horizontal="center" shrinkToFit="1"/>
    </xf>
    <xf numFmtId="0" fontId="34" fillId="5" borderId="74" xfId="3" applyFont="1" applyBorder="1" applyAlignment="1">
      <alignment horizontal="center" shrinkToFit="1"/>
    </xf>
    <xf numFmtId="0" fontId="34" fillId="5" borderId="74" xfId="3" applyFont="1" applyBorder="1" applyAlignment="1">
      <alignment horizontal="center" wrapText="1"/>
    </xf>
    <xf numFmtId="0" fontId="35" fillId="5" borderId="74" xfId="3" applyFont="1" applyBorder="1" applyAlignment="1">
      <alignment horizontal="center" vertical="top" shrinkToFit="1"/>
    </xf>
    <xf numFmtId="0" fontId="32" fillId="5" borderId="74" xfId="3" applyFont="1" applyBorder="1" applyAlignment="1">
      <alignment horizontal="center" vertical="top" wrapText="1"/>
    </xf>
    <xf numFmtId="0" fontId="36" fillId="5" borderId="74" xfId="3" applyFont="1" applyBorder="1" applyAlignment="1">
      <alignment horizontal="center" vertical="top" wrapText="1"/>
    </xf>
    <xf numFmtId="0" fontId="34" fillId="5" borderId="74" xfId="3" applyFont="1" applyBorder="1" applyAlignment="1">
      <alignment horizontal="center" vertical="top" shrinkToFit="1"/>
    </xf>
    <xf numFmtId="0" fontId="31" fillId="5" borderId="76" xfId="3" applyFont="1" applyBorder="1" applyAlignment="1">
      <alignment horizontal="center"/>
    </xf>
    <xf numFmtId="0" fontId="31" fillId="5" borderId="0" xfId="3" applyFont="1" applyBorder="1" applyAlignment="1">
      <alignment horizontal="center"/>
    </xf>
    <xf numFmtId="0" fontId="7" fillId="5" borderId="0" xfId="3" applyFont="1" applyBorder="1"/>
    <xf numFmtId="3" fontId="3" fillId="0" borderId="71" xfId="0" quotePrefix="1" applyNumberFormat="1" applyFont="1" applyFill="1" applyBorder="1" applyAlignment="1">
      <alignment horizontal="center" vertical="center"/>
    </xf>
    <xf numFmtId="0" fontId="25" fillId="5" borderId="74" xfId="3" applyFont="1" applyBorder="1" applyAlignment="1">
      <alignment horizontal="center"/>
    </xf>
    <xf numFmtId="0" fontId="26" fillId="5" borderId="74" xfId="3" applyFont="1" applyBorder="1" applyAlignment="1">
      <alignment horizontal="center" shrinkToFit="1"/>
    </xf>
    <xf numFmtId="0" fontId="27" fillId="5" borderId="74" xfId="3" applyFont="1" applyBorder="1" applyAlignment="1">
      <alignment horizontal="center" shrinkToFit="1"/>
    </xf>
    <xf numFmtId="0" fontId="27" fillId="5" borderId="83" xfId="3" applyFont="1" applyBorder="1" applyAlignment="1">
      <alignment horizontal="center" wrapText="1"/>
    </xf>
    <xf numFmtId="165" fontId="18" fillId="0" borderId="77" xfId="0" applyNumberFormat="1" applyFont="1" applyFill="1" applyBorder="1" applyAlignment="1">
      <alignment horizontal="center"/>
    </xf>
    <xf numFmtId="165" fontId="18" fillId="0" borderId="78" xfId="0" applyNumberFormat="1" applyFont="1" applyFill="1" applyBorder="1" applyAlignment="1">
      <alignment horizontal="center"/>
    </xf>
    <xf numFmtId="0" fontId="7" fillId="0" borderId="85" xfId="0" applyFont="1" applyFill="1" applyBorder="1" applyAlignment="1">
      <alignment horizontal="center" vertical="center"/>
    </xf>
    <xf numFmtId="0" fontId="0" fillId="0" borderId="85" xfId="0" applyFill="1" applyBorder="1" applyAlignment="1">
      <alignment vertical="center"/>
    </xf>
    <xf numFmtId="0" fontId="7" fillId="3" borderId="85" xfId="5" applyFont="1" applyBorder="1" applyAlignment="1">
      <alignment horizontal="center" vertical="center"/>
    </xf>
    <xf numFmtId="0" fontId="0" fillId="3" borderId="85" xfId="0" applyFill="1" applyBorder="1" applyAlignment="1">
      <alignment vertical="center"/>
    </xf>
    <xf numFmtId="164" fontId="9" fillId="0" borderId="85" xfId="1" applyFont="1" applyFill="1" applyBorder="1" applyAlignment="1">
      <alignment horizontal="left" vertical="center"/>
    </xf>
    <xf numFmtId="164" fontId="7" fillId="0" borderId="85" xfId="1" applyFont="1" applyFill="1" applyBorder="1" applyAlignment="1"/>
    <xf numFmtId="0" fontId="3" fillId="0" borderId="85" xfId="0" applyFont="1" applyFill="1" applyBorder="1" applyAlignment="1">
      <alignment horizontal="center"/>
    </xf>
    <xf numFmtId="164" fontId="9" fillId="4" borderId="85" xfId="1" applyFont="1" applyFill="1" applyBorder="1" applyAlignment="1">
      <alignment horizontal="right" vertical="top"/>
    </xf>
    <xf numFmtId="164" fontId="7" fillId="4" borderId="85" xfId="1" applyFont="1" applyFill="1" applyBorder="1" applyAlignment="1">
      <alignment vertical="top" wrapText="1"/>
    </xf>
    <xf numFmtId="0" fontId="3" fillId="4" borderId="85" xfId="0" applyFont="1" applyFill="1" applyBorder="1" applyAlignment="1">
      <alignment horizontal="center" vertical="top"/>
    </xf>
    <xf numFmtId="164" fontId="7" fillId="3" borderId="85" xfId="1" applyFont="1" applyFill="1" applyBorder="1" applyAlignment="1"/>
    <xf numFmtId="0" fontId="3" fillId="3" borderId="85" xfId="0" applyFont="1" applyFill="1" applyBorder="1" applyAlignment="1">
      <alignment horizontal="center"/>
    </xf>
    <xf numFmtId="164" fontId="7" fillId="3" borderId="85" xfId="1" applyFont="1" applyFill="1" applyBorder="1" applyAlignment="1">
      <alignment vertical="top" wrapText="1"/>
    </xf>
    <xf numFmtId="0" fontId="3" fillId="3" borderId="85" xfId="0" applyFont="1" applyFill="1" applyBorder="1" applyAlignment="1">
      <alignment horizontal="center" vertical="top"/>
    </xf>
    <xf numFmtId="164" fontId="7" fillId="0" borderId="85" xfId="1" applyFont="1" applyFill="1" applyBorder="1" applyAlignment="1">
      <alignment vertical="top" wrapText="1"/>
    </xf>
    <xf numFmtId="0" fontId="3" fillId="0" borderId="85" xfId="0" applyFont="1" applyFill="1" applyBorder="1" applyAlignment="1">
      <alignment horizontal="center" vertical="top"/>
    </xf>
    <xf numFmtId="164" fontId="9" fillId="3" borderId="85" xfId="1" applyFont="1" applyFill="1" applyBorder="1" applyAlignment="1">
      <alignment vertical="center"/>
    </xf>
    <xf numFmtId="0" fontId="8" fillId="3" borderId="85" xfId="0" applyFont="1" applyFill="1" applyBorder="1" applyAlignment="1">
      <alignment horizontal="center" vertical="center"/>
    </xf>
    <xf numFmtId="164" fontId="7" fillId="3" borderId="85" xfId="1" applyFont="1" applyFill="1" applyBorder="1" applyAlignment="1">
      <alignment vertical="center"/>
    </xf>
    <xf numFmtId="0" fontId="3" fillId="3" borderId="85" xfId="0" applyFont="1" applyFill="1" applyBorder="1" applyAlignment="1">
      <alignment horizontal="center" vertical="center"/>
    </xf>
    <xf numFmtId="0" fontId="7" fillId="0" borderId="85" xfId="0" applyFont="1" applyFill="1" applyBorder="1" applyAlignment="1">
      <alignment horizontal="center"/>
    </xf>
    <xf numFmtId="164" fontId="7" fillId="0" borderId="85" xfId="1" applyFont="1" applyFill="1" applyBorder="1" applyAlignment="1">
      <alignment horizontal="right"/>
    </xf>
    <xf numFmtId="0" fontId="7" fillId="0" borderId="85" xfId="0" applyFont="1" applyFill="1" applyBorder="1" applyAlignment="1">
      <alignment horizontal="center" vertical="top"/>
    </xf>
    <xf numFmtId="164" fontId="7" fillId="0" borderId="85" xfId="1" applyFont="1" applyFill="1" applyBorder="1" applyAlignment="1">
      <alignment horizontal="right" vertical="top"/>
    </xf>
    <xf numFmtId="164" fontId="7" fillId="0" borderId="85" xfId="1" applyFont="1" applyFill="1" applyBorder="1" applyAlignment="1">
      <alignment vertical="top"/>
    </xf>
    <xf numFmtId="0" fontId="7" fillId="3" borderId="85" xfId="5" applyFont="1" applyBorder="1" applyAlignment="1">
      <alignment horizontal="center"/>
    </xf>
    <xf numFmtId="164" fontId="7" fillId="3" borderId="85" xfId="1" applyFont="1" applyFill="1" applyBorder="1" applyAlignment="1">
      <alignment horizontal="right"/>
    </xf>
    <xf numFmtId="0" fontId="7" fillId="3" borderId="85" xfId="5" applyFont="1" applyBorder="1" applyAlignment="1">
      <alignment horizontal="center" vertical="top"/>
    </xf>
    <xf numFmtId="164" fontId="7" fillId="3" borderId="85" xfId="1" applyFont="1" applyFill="1" applyBorder="1" applyAlignment="1">
      <alignment horizontal="right" vertical="top"/>
    </xf>
    <xf numFmtId="164" fontId="7" fillId="3" borderId="85" xfId="1" applyFont="1" applyFill="1" applyBorder="1" applyAlignment="1">
      <alignment vertical="top"/>
    </xf>
    <xf numFmtId="164" fontId="9" fillId="0" borderId="85" xfId="1" applyFont="1" applyFill="1" applyBorder="1" applyAlignment="1">
      <alignment vertical="center"/>
    </xf>
    <xf numFmtId="0" fontId="8" fillId="0" borderId="85" xfId="0" applyFont="1" applyFill="1" applyBorder="1" applyAlignment="1">
      <alignment horizontal="center" vertical="center"/>
    </xf>
    <xf numFmtId="164" fontId="7" fillId="0" borderId="85" xfId="1" applyFont="1" applyFill="1" applyBorder="1" applyAlignment="1">
      <alignment vertical="center"/>
    </xf>
    <xf numFmtId="0" fontId="3" fillId="0" borderId="85" xfId="0" applyFont="1" applyFill="1" applyBorder="1" applyAlignment="1">
      <alignment horizontal="center" vertical="center"/>
    </xf>
    <xf numFmtId="0" fontId="7" fillId="0" borderId="85" xfId="0" applyFont="1" applyFill="1" applyBorder="1" applyAlignment="1">
      <alignment vertical="center"/>
    </xf>
    <xf numFmtId="0" fontId="7" fillId="3" borderId="85" xfId="5" applyFont="1" applyBorder="1" applyAlignment="1">
      <alignment vertical="center"/>
    </xf>
    <xf numFmtId="0" fontId="7" fillId="3" borderId="85" xfId="0" applyFont="1" applyFill="1" applyBorder="1" applyAlignment="1">
      <alignment vertical="center"/>
    </xf>
    <xf numFmtId="0" fontId="7" fillId="0" borderId="84" xfId="0" applyFont="1" applyFill="1" applyBorder="1" applyAlignment="1">
      <alignment vertical="center"/>
    </xf>
    <xf numFmtId="164" fontId="7" fillId="0" borderId="84" xfId="1" applyFont="1" applyFill="1" applyBorder="1" applyAlignment="1">
      <alignment vertical="center"/>
    </xf>
    <xf numFmtId="0" fontId="3" fillId="0" borderId="84" xfId="0" applyFont="1" applyFill="1" applyBorder="1" applyAlignment="1">
      <alignment horizontal="center" vertical="center"/>
    </xf>
    <xf numFmtId="0" fontId="7" fillId="0" borderId="87" xfId="0" applyFont="1" applyFill="1" applyBorder="1" applyAlignment="1">
      <alignment horizontal="center" vertical="center"/>
    </xf>
    <xf numFmtId="0" fontId="0" fillId="0" borderId="87" xfId="0" applyFill="1" applyBorder="1" applyAlignment="1">
      <alignment vertical="center"/>
    </xf>
    <xf numFmtId="0" fontId="3" fillId="0" borderId="87" xfId="0" applyFont="1" applyFill="1" applyBorder="1" applyAlignment="1">
      <alignment horizontal="center" vertical="center"/>
    </xf>
    <xf numFmtId="0" fontId="7" fillId="3" borderId="87" xfId="5" applyFont="1" applyBorder="1" applyAlignment="1">
      <alignment horizontal="center" vertical="center"/>
    </xf>
    <xf numFmtId="0" fontId="0" fillId="3" borderId="87" xfId="0" applyFill="1" applyBorder="1" applyAlignment="1">
      <alignment vertical="center"/>
    </xf>
    <xf numFmtId="0" fontId="3" fillId="3" borderId="87" xfId="0" applyFont="1" applyFill="1" applyBorder="1" applyAlignment="1">
      <alignment horizontal="center" vertical="center"/>
    </xf>
    <xf numFmtId="164" fontId="9" fillId="0" borderId="87" xfId="1" applyFont="1" applyFill="1" applyBorder="1" applyAlignment="1">
      <alignment horizontal="left" vertical="center"/>
    </xf>
    <xf numFmtId="164" fontId="7" fillId="0" borderId="87" xfId="1" applyFont="1" applyFill="1" applyBorder="1" applyAlignment="1"/>
    <xf numFmtId="0" fontId="3" fillId="0" borderId="87" xfId="0" applyFont="1" applyFill="1" applyBorder="1" applyAlignment="1">
      <alignment horizontal="center"/>
    </xf>
    <xf numFmtId="165" fontId="18" fillId="0" borderId="87" xfId="0" applyNumberFormat="1" applyFont="1" applyFill="1" applyBorder="1" applyAlignment="1">
      <alignment horizontal="center"/>
    </xf>
    <xf numFmtId="164" fontId="9" fillId="4" borderId="87" xfId="1" applyFont="1" applyFill="1" applyBorder="1" applyAlignment="1">
      <alignment horizontal="right" vertical="top"/>
    </xf>
    <xf numFmtId="164" fontId="7" fillId="4" borderId="87" xfId="1" applyFont="1" applyFill="1" applyBorder="1" applyAlignment="1">
      <alignment vertical="top" wrapText="1"/>
    </xf>
    <xf numFmtId="0" fontId="3" fillId="4" borderId="87" xfId="0" applyFont="1" applyFill="1" applyBorder="1" applyAlignment="1">
      <alignment horizontal="center" vertical="top"/>
    </xf>
    <xf numFmtId="10" fontId="3" fillId="4" borderId="87" xfId="0" applyNumberFormat="1" applyFont="1" applyFill="1" applyBorder="1" applyAlignment="1">
      <alignment horizontal="center" vertical="top"/>
    </xf>
    <xf numFmtId="164" fontId="7" fillId="3" borderId="87" xfId="1" applyFont="1" applyFill="1" applyBorder="1" applyAlignment="1"/>
    <xf numFmtId="0" fontId="3" fillId="3" borderId="87" xfId="0" applyFont="1" applyFill="1" applyBorder="1" applyAlignment="1">
      <alignment horizontal="center"/>
    </xf>
    <xf numFmtId="165" fontId="18" fillId="3" borderId="87" xfId="0" applyNumberFormat="1" applyFont="1" applyFill="1" applyBorder="1" applyAlignment="1">
      <alignment horizontal="center"/>
    </xf>
    <xf numFmtId="164" fontId="7" fillId="3" borderId="87" xfId="1" applyFont="1" applyFill="1" applyBorder="1" applyAlignment="1">
      <alignment vertical="top" wrapText="1"/>
    </xf>
    <xf numFmtId="0" fontId="3" fillId="3" borderId="87" xfId="0" applyFont="1" applyFill="1" applyBorder="1" applyAlignment="1">
      <alignment horizontal="center" vertical="top"/>
    </xf>
    <xf numFmtId="10" fontId="3" fillId="3" borderId="87" xfId="2" applyNumberFormat="1" applyFont="1" applyFill="1" applyBorder="1" applyAlignment="1">
      <alignment horizontal="center" vertical="top"/>
    </xf>
    <xf numFmtId="164" fontId="7" fillId="0" borderId="87" xfId="1" applyFont="1" applyFill="1" applyBorder="1" applyAlignment="1">
      <alignment vertical="top" wrapText="1"/>
    </xf>
    <xf numFmtId="0" fontId="3" fillId="0" borderId="87" xfId="0" applyFont="1" applyFill="1" applyBorder="1" applyAlignment="1">
      <alignment horizontal="center" vertical="top"/>
    </xf>
    <xf numFmtId="10" fontId="3" fillId="0" borderId="87" xfId="2" applyNumberFormat="1" applyFont="1" applyFill="1" applyBorder="1" applyAlignment="1">
      <alignment horizontal="center" vertical="top"/>
    </xf>
    <xf numFmtId="164" fontId="9" fillId="3" borderId="87" xfId="1" applyFont="1" applyFill="1" applyBorder="1" applyAlignment="1">
      <alignment vertical="center"/>
    </xf>
    <xf numFmtId="0" fontId="8" fillId="3" borderId="87" xfId="0" applyFont="1" applyFill="1" applyBorder="1" applyAlignment="1">
      <alignment horizontal="center" vertical="center"/>
    </xf>
    <xf numFmtId="165" fontId="5" fillId="3" borderId="87" xfId="0" applyNumberFormat="1" applyFont="1" applyFill="1" applyBorder="1" applyAlignment="1">
      <alignment horizontal="center" vertical="center"/>
    </xf>
    <xf numFmtId="164" fontId="7" fillId="3" borderId="87" xfId="1" applyFont="1" applyFill="1" applyBorder="1" applyAlignment="1">
      <alignment vertical="center"/>
    </xf>
    <xf numFmtId="165" fontId="3" fillId="3" borderId="87" xfId="0" applyNumberFormat="1" applyFont="1" applyFill="1" applyBorder="1" applyAlignment="1">
      <alignment horizontal="center" vertical="center"/>
    </xf>
    <xf numFmtId="0" fontId="7" fillId="0" borderId="87" xfId="0" applyFont="1" applyFill="1" applyBorder="1" applyAlignment="1">
      <alignment horizontal="center"/>
    </xf>
    <xf numFmtId="164" fontId="7" fillId="0" borderId="87" xfId="1" applyFont="1" applyFill="1" applyBorder="1" applyAlignment="1">
      <alignment horizontal="right"/>
    </xf>
    <xf numFmtId="165" fontId="3" fillId="0" borderId="87" xfId="0" applyNumberFormat="1" applyFont="1" applyFill="1" applyBorder="1" applyAlignment="1">
      <alignment horizontal="center"/>
    </xf>
    <xf numFmtId="0" fontId="7" fillId="0" borderId="87" xfId="0" applyFont="1" applyFill="1" applyBorder="1" applyAlignment="1">
      <alignment horizontal="center" vertical="top"/>
    </xf>
    <xf numFmtId="164" fontId="7" fillId="0" borderId="87" xfId="1" applyFont="1" applyFill="1" applyBorder="1" applyAlignment="1">
      <alignment horizontal="right" vertical="top"/>
    </xf>
    <xf numFmtId="164" fontId="7" fillId="0" borderId="87" xfId="1" applyFont="1" applyFill="1" applyBorder="1" applyAlignment="1">
      <alignment vertical="top"/>
    </xf>
    <xf numFmtId="0" fontId="7" fillId="3" borderId="87" xfId="5" applyFont="1" applyBorder="1" applyAlignment="1">
      <alignment horizontal="center"/>
    </xf>
    <xf numFmtId="164" fontId="7" fillId="3" borderId="87" xfId="1" applyFont="1" applyFill="1" applyBorder="1" applyAlignment="1">
      <alignment horizontal="right"/>
    </xf>
    <xf numFmtId="0" fontId="7" fillId="3" borderId="87" xfId="5" applyFont="1" applyBorder="1" applyAlignment="1">
      <alignment horizontal="center" vertical="top"/>
    </xf>
    <xf numFmtId="164" fontId="7" fillId="3" borderId="87" xfId="1" applyFont="1" applyFill="1" applyBorder="1" applyAlignment="1">
      <alignment horizontal="right" vertical="top"/>
    </xf>
    <xf numFmtId="164" fontId="7" fillId="3" borderId="87" xfId="1" applyFont="1" applyFill="1" applyBorder="1" applyAlignment="1">
      <alignment vertical="top"/>
    </xf>
    <xf numFmtId="164" fontId="9" fillId="0" borderId="87" xfId="1" applyFont="1" applyFill="1" applyBorder="1" applyAlignment="1">
      <alignment vertical="center"/>
    </xf>
    <xf numFmtId="0" fontId="8" fillId="0" borderId="87" xfId="0" applyFont="1" applyFill="1" applyBorder="1" applyAlignment="1">
      <alignment horizontal="center" vertical="center"/>
    </xf>
    <xf numFmtId="165" fontId="5" fillId="0" borderId="87" xfId="0" applyNumberFormat="1" applyFont="1" applyFill="1" applyBorder="1" applyAlignment="1">
      <alignment horizontal="center" vertical="center"/>
    </xf>
    <xf numFmtId="164" fontId="7" fillId="0" borderId="87" xfId="1" applyFont="1" applyFill="1" applyBorder="1" applyAlignment="1">
      <alignment vertical="center"/>
    </xf>
    <xf numFmtId="165" fontId="3" fillId="0" borderId="87" xfId="0" applyNumberFormat="1" applyFont="1" applyFill="1" applyBorder="1" applyAlignment="1">
      <alignment horizontal="center" vertical="center"/>
    </xf>
    <xf numFmtId="3" fontId="3" fillId="3" borderId="87" xfId="0" applyNumberFormat="1" applyFont="1" applyFill="1" applyBorder="1" applyAlignment="1">
      <alignment horizontal="center" vertical="center"/>
    </xf>
    <xf numFmtId="0" fontId="7" fillId="0" borderId="87" xfId="0" applyFont="1" applyFill="1" applyBorder="1" applyAlignment="1">
      <alignment vertical="center"/>
    </xf>
    <xf numFmtId="0" fontId="7" fillId="3" borderId="87" xfId="5" applyFont="1" applyBorder="1" applyAlignment="1">
      <alignment vertical="center"/>
    </xf>
    <xf numFmtId="0" fontId="7" fillId="3" borderId="87" xfId="0" applyFont="1" applyFill="1" applyBorder="1" applyAlignment="1">
      <alignment vertical="center"/>
    </xf>
    <xf numFmtId="0" fontId="7" fillId="0" borderId="86" xfId="0" applyFont="1" applyFill="1" applyBorder="1" applyAlignment="1">
      <alignment vertical="center"/>
    </xf>
    <xf numFmtId="164" fontId="7" fillId="0" borderId="86" xfId="1" applyFont="1" applyFill="1" applyBorder="1" applyAlignment="1">
      <alignment vertical="center"/>
    </xf>
    <xf numFmtId="0" fontId="3" fillId="0" borderId="86" xfId="0" applyFont="1" applyFill="1" applyBorder="1" applyAlignment="1">
      <alignment horizontal="center" vertical="center"/>
    </xf>
    <xf numFmtId="165" fontId="3" fillId="0" borderId="86" xfId="0" applyNumberFormat="1" applyFont="1" applyFill="1" applyBorder="1" applyAlignment="1">
      <alignment horizontal="center" vertical="center"/>
    </xf>
    <xf numFmtId="165" fontId="3" fillId="0" borderId="88" xfId="0" applyNumberFormat="1" applyFont="1" applyFill="1" applyBorder="1" applyAlignment="1">
      <alignment horizontal="center" vertical="center"/>
    </xf>
    <xf numFmtId="165" fontId="3" fillId="4" borderId="89" xfId="0" applyNumberFormat="1" applyFont="1" applyFill="1" applyBorder="1" applyAlignment="1">
      <alignment horizontal="center" vertical="center"/>
    </xf>
    <xf numFmtId="165" fontId="3" fillId="0" borderId="90" xfId="0" applyNumberFormat="1" applyFont="1" applyFill="1" applyBorder="1" applyAlignment="1">
      <alignment horizontal="center" vertical="center"/>
    </xf>
    <xf numFmtId="165" fontId="3" fillId="4" borderId="91" xfId="0" applyNumberFormat="1" applyFont="1" applyFill="1" applyBorder="1" applyAlignment="1">
      <alignment horizontal="center" vertical="center"/>
    </xf>
    <xf numFmtId="165" fontId="3" fillId="4" borderId="90" xfId="0" applyNumberFormat="1" applyFont="1" applyFill="1" applyBorder="1" applyAlignment="1">
      <alignment horizontal="center" vertical="center"/>
    </xf>
    <xf numFmtId="165" fontId="18" fillId="0" borderId="89" xfId="0" quotePrefix="1" applyNumberFormat="1" applyFont="1" applyFill="1" applyBorder="1" applyAlignment="1">
      <alignment horizontal="center" vertical="center" shrinkToFit="1"/>
    </xf>
    <xf numFmtId="165" fontId="18" fillId="0" borderId="89" xfId="0" applyNumberFormat="1" applyFont="1" applyFill="1" applyBorder="1" applyAlignment="1">
      <alignment horizontal="center" vertical="center" shrinkToFit="1"/>
    </xf>
    <xf numFmtId="165" fontId="3" fillId="0" borderId="92" xfId="0" applyNumberFormat="1" applyFont="1" applyFill="1" applyBorder="1" applyAlignment="1">
      <alignment horizontal="center" vertical="center"/>
    </xf>
    <xf numFmtId="165" fontId="3" fillId="0" borderId="93" xfId="0" applyNumberFormat="1" applyFont="1" applyFill="1" applyBorder="1" applyAlignment="1">
      <alignment horizontal="center" vertical="center"/>
    </xf>
    <xf numFmtId="165" fontId="3" fillId="4" borderId="94" xfId="0" applyNumberFormat="1" applyFont="1" applyFill="1" applyBorder="1" applyAlignment="1">
      <alignment horizontal="center" vertical="center"/>
    </xf>
    <xf numFmtId="165" fontId="3" fillId="4" borderId="95" xfId="0" applyNumberFormat="1" applyFont="1" applyFill="1" applyBorder="1" applyAlignment="1">
      <alignment horizontal="center" vertical="center"/>
    </xf>
    <xf numFmtId="165" fontId="3" fillId="4" borderId="93" xfId="0" applyNumberFormat="1" applyFont="1" applyFill="1" applyBorder="1" applyAlignment="1">
      <alignment horizontal="center" vertical="center"/>
    </xf>
    <xf numFmtId="165" fontId="18" fillId="0" borderId="94" xfId="0" quotePrefix="1" applyNumberFormat="1" applyFont="1" applyFill="1" applyBorder="1" applyAlignment="1">
      <alignment horizontal="center" vertical="center" shrinkToFit="1"/>
    </xf>
    <xf numFmtId="165" fontId="18" fillId="0" borderId="94" xfId="0" applyNumberFormat="1" applyFont="1" applyFill="1" applyBorder="1" applyAlignment="1">
      <alignment horizontal="center" vertical="center" shrinkToFit="1"/>
    </xf>
    <xf numFmtId="165" fontId="18" fillId="0" borderId="85" xfId="0" applyNumberFormat="1" applyFont="1" applyFill="1" applyBorder="1" applyAlignment="1">
      <alignment horizontal="center"/>
    </xf>
    <xf numFmtId="10" fontId="3" fillId="4" borderId="85" xfId="0" applyNumberFormat="1" applyFont="1" applyFill="1" applyBorder="1" applyAlignment="1">
      <alignment horizontal="center" vertical="top"/>
    </xf>
    <xf numFmtId="165" fontId="18" fillId="3" borderId="85" xfId="0" applyNumberFormat="1" applyFont="1" applyFill="1" applyBorder="1" applyAlignment="1">
      <alignment horizontal="center"/>
    </xf>
    <xf numFmtId="10" fontId="3" fillId="3" borderId="85" xfId="2" applyNumberFormat="1" applyFont="1" applyFill="1" applyBorder="1" applyAlignment="1">
      <alignment horizontal="center" vertical="top"/>
    </xf>
    <xf numFmtId="10" fontId="3" fillId="0" borderId="85" xfId="2" applyNumberFormat="1" applyFont="1" applyFill="1" applyBorder="1" applyAlignment="1">
      <alignment horizontal="center" vertical="top"/>
    </xf>
    <xf numFmtId="165" fontId="5" fillId="3" borderId="85" xfId="0" applyNumberFormat="1" applyFont="1" applyFill="1" applyBorder="1" applyAlignment="1">
      <alignment horizontal="center" vertical="center"/>
    </xf>
    <xf numFmtId="165" fontId="3" fillId="3" borderId="85" xfId="0" applyNumberFormat="1" applyFont="1" applyFill="1" applyBorder="1" applyAlignment="1">
      <alignment horizontal="center" vertical="center"/>
    </xf>
    <xf numFmtId="165" fontId="3" fillId="0" borderId="85" xfId="0" applyNumberFormat="1" applyFont="1" applyFill="1" applyBorder="1" applyAlignment="1">
      <alignment horizontal="center"/>
    </xf>
    <xf numFmtId="165" fontId="5" fillId="0" borderId="85" xfId="0" applyNumberFormat="1" applyFont="1" applyFill="1" applyBorder="1" applyAlignment="1">
      <alignment horizontal="center" vertical="center"/>
    </xf>
    <xf numFmtId="165" fontId="3" fillId="0" borderId="85" xfId="0" applyNumberFormat="1" applyFont="1" applyFill="1" applyBorder="1" applyAlignment="1">
      <alignment horizontal="center" vertical="center"/>
    </xf>
    <xf numFmtId="3" fontId="3" fillId="3" borderId="85" xfId="0" applyNumberFormat="1" applyFont="1" applyFill="1" applyBorder="1" applyAlignment="1">
      <alignment horizontal="center" vertical="center"/>
    </xf>
    <xf numFmtId="165" fontId="3" fillId="0" borderId="84" xfId="0" applyNumberFormat="1" applyFont="1" applyFill="1" applyBorder="1" applyAlignment="1">
      <alignment horizontal="center" vertical="center"/>
    </xf>
    <xf numFmtId="167" fontId="18" fillId="4" borderId="78" xfId="5" applyNumberFormat="1" applyFont="1" applyFill="1" applyBorder="1" applyAlignment="1">
      <alignment horizontal="center"/>
    </xf>
    <xf numFmtId="10" fontId="3" fillId="3" borderId="0" xfId="0" applyNumberFormat="1" applyFont="1" applyFill="1" applyBorder="1" applyAlignment="1">
      <alignment horizontal="center" vertical="top"/>
    </xf>
    <xf numFmtId="3" fontId="10" fillId="0" borderId="96" xfId="0" quotePrefix="1" applyNumberFormat="1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8" fillId="0" borderId="0" xfId="0" applyNumberFormat="1" applyFont="1" applyAlignment="1">
      <alignment horizontal="center"/>
    </xf>
    <xf numFmtId="10" fontId="3" fillId="4" borderId="0" xfId="0" applyNumberFormat="1" applyFont="1" applyFill="1" applyAlignment="1">
      <alignment horizontal="center" vertical="top"/>
    </xf>
    <xf numFmtId="165" fontId="18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 vertical="top"/>
    </xf>
    <xf numFmtId="165" fontId="5" fillId="3" borderId="0" xfId="0" applyNumberFormat="1" applyFont="1" applyFill="1" applyAlignment="1">
      <alignment horizontal="center" vertical="center"/>
    </xf>
    <xf numFmtId="165" fontId="3" fillId="3" borderId="0" xfId="0" applyNumberFormat="1" applyFont="1" applyFill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10" fontId="3" fillId="0" borderId="0" xfId="2" applyNumberFormat="1" applyFont="1" applyAlignment="1">
      <alignment horizontal="center" vertical="top"/>
    </xf>
    <xf numFmtId="10" fontId="3" fillId="3" borderId="0" xfId="2" applyNumberFormat="1" applyFont="1" applyFill="1" applyAlignment="1">
      <alignment horizontal="center" vertical="top"/>
    </xf>
    <xf numFmtId="165" fontId="5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165" fontId="3" fillId="0" borderId="92" xfId="0" applyNumberFormat="1" applyFont="1" applyBorder="1" applyAlignment="1">
      <alignment horizontal="center" vertical="center"/>
    </xf>
    <xf numFmtId="165" fontId="3" fillId="0" borderId="93" xfId="0" applyNumberFormat="1" applyFont="1" applyBorder="1" applyAlignment="1">
      <alignment horizontal="center" vertical="center"/>
    </xf>
    <xf numFmtId="165" fontId="18" fillId="0" borderId="0" xfId="0" applyNumberFormat="1" applyFont="1"/>
    <xf numFmtId="165" fontId="18" fillId="3" borderId="0" xfId="5" applyNumberFormat="1" applyFont="1" applyAlignment="1">
      <alignment horizontal="right"/>
    </xf>
    <xf numFmtId="165" fontId="18" fillId="4" borderId="0" xfId="5" applyNumberFormat="1" applyFont="1" applyFill="1" applyAlignment="1">
      <alignment horizontal="right"/>
    </xf>
    <xf numFmtId="165" fontId="18" fillId="0" borderId="97" xfId="0" applyNumberFormat="1" applyFont="1" applyBorder="1"/>
    <xf numFmtId="165" fontId="18" fillId="3" borderId="97" xfId="5" applyNumberFormat="1" applyFont="1" applyBorder="1" applyAlignment="1">
      <alignment horizontal="right"/>
    </xf>
    <xf numFmtId="165" fontId="18" fillId="0" borderId="0" xfId="0" applyNumberFormat="1" applyFont="1" applyBorder="1"/>
    <xf numFmtId="165" fontId="18" fillId="3" borderId="0" xfId="5" applyNumberFormat="1" applyFont="1" applyBorder="1" applyAlignment="1">
      <alignment horizontal="right"/>
    </xf>
    <xf numFmtId="165" fontId="18" fillId="4" borderId="0" xfId="5" applyNumberFormat="1" applyFont="1" applyFill="1" applyBorder="1" applyAlignment="1">
      <alignment horizontal="right"/>
    </xf>
    <xf numFmtId="167" fontId="18" fillId="8" borderId="97" xfId="5" applyNumberFormat="1" applyFont="1" applyFill="1" applyBorder="1" applyAlignment="1">
      <alignment horizontal="right"/>
    </xf>
    <xf numFmtId="0" fontId="37" fillId="0" borderId="0" xfId="0" applyFont="1"/>
    <xf numFmtId="0" fontId="10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7" fillId="0" borderId="85" xfId="0" applyFont="1" applyBorder="1" applyAlignment="1">
      <alignment horizontal="center" vertical="center"/>
    </xf>
    <xf numFmtId="0" fontId="0" fillId="0" borderId="85" xfId="0" applyBorder="1" applyAlignment="1">
      <alignment vertical="center"/>
    </xf>
    <xf numFmtId="0" fontId="3" fillId="0" borderId="85" xfId="0" applyFont="1" applyBorder="1" applyAlignment="1">
      <alignment horizontal="center"/>
    </xf>
    <xf numFmtId="0" fontId="3" fillId="0" borderId="85" xfId="0" applyFont="1" applyBorder="1" applyAlignment="1">
      <alignment horizontal="center" vertical="top"/>
    </xf>
    <xf numFmtId="0" fontId="7" fillId="0" borderId="85" xfId="0" applyFont="1" applyBorder="1" applyAlignment="1">
      <alignment horizontal="center"/>
    </xf>
    <xf numFmtId="0" fontId="7" fillId="0" borderId="85" xfId="0" applyFont="1" applyBorder="1" applyAlignment="1">
      <alignment horizontal="center" vertical="top"/>
    </xf>
    <xf numFmtId="0" fontId="8" fillId="0" borderId="85" xfId="0" applyFont="1" applyBorder="1" applyAlignment="1">
      <alignment horizontal="center" vertical="center"/>
    </xf>
    <xf numFmtId="0" fontId="3" fillId="0" borderId="85" xfId="0" applyFont="1" applyBorder="1" applyAlignment="1">
      <alignment horizontal="center" vertical="center"/>
    </xf>
    <xf numFmtId="0" fontId="7" fillId="0" borderId="85" xfId="0" applyFont="1" applyBorder="1" applyAlignment="1">
      <alignment vertical="center"/>
    </xf>
    <xf numFmtId="3" fontId="3" fillId="0" borderId="71" xfId="0" quotePrefix="1" applyNumberFormat="1" applyFont="1" applyBorder="1" applyAlignment="1">
      <alignment horizontal="center" vertical="center"/>
    </xf>
    <xf numFmtId="0" fontId="7" fillId="0" borderId="84" xfId="0" applyFont="1" applyBorder="1" applyAlignment="1">
      <alignment vertical="center"/>
    </xf>
    <xf numFmtId="0" fontId="3" fillId="0" borderId="84" xfId="0" applyFont="1" applyBorder="1" applyAlignment="1">
      <alignment horizontal="center" vertical="center"/>
    </xf>
    <xf numFmtId="3" fontId="10" fillId="0" borderId="0" xfId="0" quotePrefix="1" applyNumberFormat="1" applyFont="1" applyAlignment="1">
      <alignment horizontal="center" vertical="center"/>
    </xf>
    <xf numFmtId="3" fontId="10" fillId="0" borderId="96" xfId="0" quotePrefix="1" applyNumberFormat="1" applyFont="1" applyBorder="1" applyAlignment="1">
      <alignment vertical="center"/>
    </xf>
    <xf numFmtId="0" fontId="18" fillId="4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165" fontId="18" fillId="4" borderId="0" xfId="0" applyNumberFormat="1" applyFont="1" applyFill="1" applyAlignment="1">
      <alignment horizontal="center"/>
    </xf>
    <xf numFmtId="165" fontId="3" fillId="3" borderId="0" xfId="0" applyNumberFormat="1" applyFont="1" applyFill="1" applyAlignment="1">
      <alignment horizontal="center"/>
    </xf>
    <xf numFmtId="165" fontId="5" fillId="4" borderId="0" xfId="0" applyNumberFormat="1" applyFont="1" applyFill="1" applyAlignment="1">
      <alignment horizontal="center" vertical="center"/>
    </xf>
    <xf numFmtId="165" fontId="3" fillId="4" borderId="0" xfId="0" applyNumberFormat="1" applyFont="1" applyFill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0" borderId="0" xfId="0" quotePrefix="1" applyNumberFormat="1" applyFont="1" applyAlignment="1">
      <alignment horizontal="center" vertical="center" shrinkToFit="1"/>
    </xf>
    <xf numFmtId="3" fontId="20" fillId="0" borderId="0" xfId="0" applyNumberFormat="1" applyFont="1" applyAlignment="1">
      <alignment horizontal="center" vertical="center" shrinkToFit="1"/>
    </xf>
    <xf numFmtId="0" fontId="18" fillId="0" borderId="71" xfId="0" applyFont="1" applyBorder="1" applyAlignment="1">
      <alignment horizontal="center" vertical="center"/>
    </xf>
    <xf numFmtId="1" fontId="18" fillId="0" borderId="71" xfId="0" applyNumberFormat="1" applyFont="1" applyBorder="1" applyAlignment="1">
      <alignment horizontal="center" vertical="center"/>
    </xf>
    <xf numFmtId="165" fontId="18" fillId="0" borderId="77" xfId="0" applyNumberFormat="1" applyFont="1" applyBorder="1" applyAlignment="1">
      <alignment horizontal="center"/>
    </xf>
    <xf numFmtId="165" fontId="18" fillId="0" borderId="78" xfId="0" applyNumberFormat="1" applyFont="1" applyBorder="1" applyAlignment="1">
      <alignment horizontal="center"/>
    </xf>
    <xf numFmtId="165" fontId="18" fillId="0" borderId="71" xfId="0" applyNumberFormat="1" applyFont="1" applyBorder="1" applyAlignment="1">
      <alignment horizontal="center"/>
    </xf>
    <xf numFmtId="165" fontId="18" fillId="0" borderId="71" xfId="0" applyNumberFormat="1" applyFont="1" applyBorder="1" applyAlignment="1">
      <alignment horizontal="center" shrinkToFit="1"/>
    </xf>
    <xf numFmtId="10" fontId="18" fillId="0" borderId="71" xfId="0" quotePrefix="1" applyNumberFormat="1" applyFont="1" applyBorder="1" applyAlignment="1">
      <alignment horizontal="center" vertical="top" shrinkToFit="1"/>
    </xf>
    <xf numFmtId="165" fontId="19" fillId="0" borderId="71" xfId="0" applyNumberFormat="1" applyFont="1" applyBorder="1" applyAlignment="1">
      <alignment horizontal="center" vertical="center" shrinkToFit="1"/>
    </xf>
    <xf numFmtId="165" fontId="18" fillId="0" borderId="71" xfId="0" quotePrefix="1" applyNumberFormat="1" applyFont="1" applyBorder="1" applyAlignment="1">
      <alignment horizontal="center" vertical="center" shrinkToFit="1"/>
    </xf>
    <xf numFmtId="165" fontId="18" fillId="0" borderId="71" xfId="0" quotePrefix="1" applyNumberFormat="1" applyFont="1" applyBorder="1" applyAlignment="1">
      <alignment horizontal="center" shrinkToFit="1"/>
    </xf>
    <xf numFmtId="165" fontId="18" fillId="0" borderId="71" xfId="0" applyNumberFormat="1" applyFont="1" applyBorder="1" applyAlignment="1">
      <alignment horizontal="center" vertical="center" shrinkToFit="1"/>
    </xf>
    <xf numFmtId="165" fontId="18" fillId="0" borderId="94" xfId="0" quotePrefix="1" applyNumberFormat="1" applyFont="1" applyBorder="1" applyAlignment="1">
      <alignment horizontal="center" vertical="center" shrinkToFit="1"/>
    </xf>
    <xf numFmtId="165" fontId="18" fillId="0" borderId="94" xfId="0" applyNumberFormat="1" applyFont="1" applyBorder="1" applyAlignment="1">
      <alignment horizontal="center" vertical="center" shrinkToFit="1"/>
    </xf>
    <xf numFmtId="0" fontId="31" fillId="9" borderId="0" xfId="3" applyFont="1" applyFill="1" applyBorder="1" applyAlignment="1">
      <alignment horizontal="center"/>
    </xf>
    <xf numFmtId="0" fontId="25" fillId="9" borderId="74" xfId="3" applyFont="1" applyFill="1" applyBorder="1" applyAlignment="1">
      <alignment horizontal="center"/>
    </xf>
    <xf numFmtId="0" fontId="26" fillId="9" borderId="74" xfId="3" applyFont="1" applyFill="1" applyBorder="1" applyAlignment="1">
      <alignment horizontal="center" shrinkToFit="1"/>
    </xf>
    <xf numFmtId="0" fontId="27" fillId="9" borderId="74" xfId="3" applyFont="1" applyFill="1" applyBorder="1" applyAlignment="1">
      <alignment horizontal="center" shrinkToFit="1"/>
    </xf>
    <xf numFmtId="0" fontId="27" fillId="9" borderId="83" xfId="3" applyFont="1" applyFill="1" applyBorder="1" applyAlignment="1">
      <alignment horizontal="center" wrapText="1"/>
    </xf>
    <xf numFmtId="0" fontId="7" fillId="9" borderId="0" xfId="3" applyFont="1" applyFill="1" applyBorder="1"/>
    <xf numFmtId="0" fontId="25" fillId="9" borderId="74" xfId="3" applyFont="1" applyFill="1" applyBorder="1" applyAlignment="1">
      <alignment horizontal="center" vertical="top"/>
    </xf>
    <xf numFmtId="0" fontId="28" fillId="9" borderId="74" xfId="3" applyFont="1" applyFill="1" applyBorder="1" applyAlignment="1">
      <alignment horizontal="center" vertical="top" shrinkToFit="1"/>
    </xf>
    <xf numFmtId="0" fontId="25" fillId="9" borderId="74" xfId="3" applyFont="1" applyFill="1" applyBorder="1" applyAlignment="1">
      <alignment horizontal="center" vertical="top" wrapText="1"/>
    </xf>
    <xf numFmtId="0" fontId="29" fillId="9" borderId="74" xfId="3" applyFont="1" applyFill="1" applyBorder="1" applyAlignment="1">
      <alignment horizontal="center" vertical="top" wrapText="1"/>
    </xf>
    <xf numFmtId="0" fontId="27" fillId="9" borderId="74" xfId="3" applyFont="1" applyFill="1" applyBorder="1" applyAlignment="1">
      <alignment horizontal="center" vertical="top" shrinkToFit="1"/>
    </xf>
    <xf numFmtId="0" fontId="27" fillId="9" borderId="72" xfId="3" applyFont="1" applyFill="1" applyBorder="1" applyAlignment="1">
      <alignment horizontal="center" vertical="top" shrinkToFit="1"/>
    </xf>
    <xf numFmtId="0" fontId="7" fillId="0" borderId="100" xfId="0" applyFont="1" applyFill="1" applyBorder="1" applyAlignment="1">
      <alignment horizontal="center" vertical="center"/>
    </xf>
    <xf numFmtId="0" fontId="7" fillId="3" borderId="100" xfId="5" applyFont="1" applyBorder="1" applyAlignment="1">
      <alignment horizontal="center" vertical="center"/>
    </xf>
    <xf numFmtId="0" fontId="7" fillId="0" borderId="100" xfId="0" applyFont="1" applyFill="1" applyBorder="1" applyAlignment="1">
      <alignment horizontal="center"/>
    </xf>
    <xf numFmtId="0" fontId="7" fillId="0" borderId="100" xfId="0" applyFont="1" applyFill="1" applyBorder="1" applyAlignment="1">
      <alignment horizontal="center" vertical="top"/>
    </xf>
    <xf numFmtId="0" fontId="7" fillId="3" borderId="100" xfId="5" applyFont="1" applyBorder="1" applyAlignment="1">
      <alignment horizontal="center"/>
    </xf>
    <xf numFmtId="0" fontId="7" fillId="3" borderId="100" xfId="5" applyFont="1" applyBorder="1" applyAlignment="1">
      <alignment horizontal="center" vertical="top"/>
    </xf>
    <xf numFmtId="0" fontId="7" fillId="0" borderId="100" xfId="0" applyFont="1" applyFill="1" applyBorder="1" applyAlignment="1">
      <alignment vertical="center"/>
    </xf>
    <xf numFmtId="0" fontId="7" fillId="3" borderId="100" xfId="5" applyFont="1" applyBorder="1" applyAlignment="1">
      <alignment vertical="center"/>
    </xf>
    <xf numFmtId="0" fontId="7" fillId="0" borderId="98" xfId="0" applyFont="1" applyFill="1" applyBorder="1" applyAlignment="1">
      <alignment vertical="center"/>
    </xf>
    <xf numFmtId="0" fontId="0" fillId="0" borderId="100" xfId="0" applyFill="1" applyBorder="1" applyAlignment="1">
      <alignment vertical="center"/>
    </xf>
    <xf numFmtId="0" fontId="0" fillId="3" borderId="100" xfId="0" applyFill="1" applyBorder="1" applyAlignment="1">
      <alignment vertical="center"/>
    </xf>
    <xf numFmtId="0" fontId="3" fillId="0" borderId="100" xfId="0" applyFont="1" applyFill="1" applyBorder="1" applyAlignment="1">
      <alignment horizontal="center"/>
    </xf>
    <xf numFmtId="0" fontId="3" fillId="4" borderId="100" xfId="0" applyFont="1" applyFill="1" applyBorder="1" applyAlignment="1">
      <alignment horizontal="center" vertical="top"/>
    </xf>
    <xf numFmtId="0" fontId="3" fillId="3" borderId="100" xfId="0" applyFont="1" applyFill="1" applyBorder="1" applyAlignment="1">
      <alignment horizontal="center"/>
    </xf>
    <xf numFmtId="0" fontId="3" fillId="3" borderId="100" xfId="0" applyFont="1" applyFill="1" applyBorder="1" applyAlignment="1">
      <alignment horizontal="center" vertical="top"/>
    </xf>
    <xf numFmtId="0" fontId="3" fillId="0" borderId="100" xfId="0" applyFont="1" applyFill="1" applyBorder="1" applyAlignment="1">
      <alignment horizontal="center" vertical="top"/>
    </xf>
    <xf numFmtId="0" fontId="8" fillId="3" borderId="100" xfId="0" applyFont="1" applyFill="1" applyBorder="1" applyAlignment="1">
      <alignment horizontal="center" vertical="center"/>
    </xf>
    <xf numFmtId="0" fontId="3" fillId="3" borderId="100" xfId="0" applyFont="1" applyFill="1" applyBorder="1" applyAlignment="1">
      <alignment horizontal="center" vertical="center"/>
    </xf>
    <xf numFmtId="0" fontId="8" fillId="0" borderId="100" xfId="0" applyFont="1" applyFill="1" applyBorder="1" applyAlignment="1">
      <alignment horizontal="center" vertical="center"/>
    </xf>
    <xf numFmtId="0" fontId="3" fillId="0" borderId="100" xfId="0" applyFont="1" applyFill="1" applyBorder="1" applyAlignment="1">
      <alignment horizontal="center" vertical="center"/>
    </xf>
    <xf numFmtId="0" fontId="3" fillId="0" borderId="98" xfId="0" applyFont="1" applyFill="1" applyBorder="1" applyAlignment="1">
      <alignment horizontal="center" vertical="center"/>
    </xf>
    <xf numFmtId="164" fontId="7" fillId="0" borderId="100" xfId="1" applyFont="1" applyFill="1" applyBorder="1" applyAlignment="1"/>
    <xf numFmtId="164" fontId="7" fillId="4" borderId="100" xfId="1" applyFont="1" applyFill="1" applyBorder="1" applyAlignment="1">
      <alignment vertical="top" wrapText="1"/>
    </xf>
    <xf numFmtId="164" fontId="7" fillId="3" borderId="100" xfId="1" applyFont="1" applyFill="1" applyBorder="1" applyAlignment="1"/>
    <xf numFmtId="164" fontId="7" fillId="3" borderId="100" xfId="1" applyFont="1" applyFill="1" applyBorder="1" applyAlignment="1">
      <alignment vertical="top" wrapText="1"/>
    </xf>
    <xf numFmtId="164" fontId="7" fillId="0" borderId="100" xfId="1" applyFont="1" applyFill="1" applyBorder="1" applyAlignment="1">
      <alignment vertical="top" wrapText="1"/>
    </xf>
    <xf numFmtId="164" fontId="9" fillId="3" borderId="100" xfId="1" applyFont="1" applyFill="1" applyBorder="1" applyAlignment="1">
      <alignment vertical="center"/>
    </xf>
    <xf numFmtId="164" fontId="7" fillId="3" borderId="100" xfId="1" applyFont="1" applyFill="1" applyBorder="1" applyAlignment="1">
      <alignment vertical="center"/>
    </xf>
    <xf numFmtId="164" fontId="7" fillId="0" borderId="100" xfId="1" applyFont="1" applyFill="1" applyBorder="1" applyAlignment="1">
      <alignment vertical="top"/>
    </xf>
    <xf numFmtId="164" fontId="7" fillId="3" borderId="100" xfId="1" applyFont="1" applyFill="1" applyBorder="1" applyAlignment="1">
      <alignment vertical="top"/>
    </xf>
    <xf numFmtId="164" fontId="9" fillId="0" borderId="100" xfId="1" applyFont="1" applyFill="1" applyBorder="1" applyAlignment="1">
      <alignment vertical="center"/>
    </xf>
    <xf numFmtId="164" fontId="7" fillId="0" borderId="100" xfId="1" applyFont="1" applyFill="1" applyBorder="1" applyAlignment="1">
      <alignment vertical="center"/>
    </xf>
    <xf numFmtId="164" fontId="7" fillId="0" borderId="98" xfId="1" applyFont="1" applyFill="1" applyBorder="1" applyAlignment="1">
      <alignment vertical="center"/>
    </xf>
    <xf numFmtId="1" fontId="3" fillId="4" borderId="103" xfId="0" applyNumberFormat="1" applyFont="1" applyFill="1" applyBorder="1" applyAlignment="1">
      <alignment horizontal="center" vertical="center"/>
    </xf>
    <xf numFmtId="1" fontId="3" fillId="3" borderId="103" xfId="0" applyNumberFormat="1" applyFont="1" applyFill="1" applyBorder="1" applyAlignment="1">
      <alignment horizontal="center" vertical="center"/>
    </xf>
    <xf numFmtId="165" fontId="3" fillId="4" borderId="103" xfId="0" applyNumberFormat="1" applyFont="1" applyFill="1" applyBorder="1" applyAlignment="1">
      <alignment horizontal="center"/>
    </xf>
    <xf numFmtId="10" fontId="3" fillId="4" borderId="103" xfId="2" applyNumberFormat="1" applyFont="1" applyFill="1" applyBorder="1" applyAlignment="1">
      <alignment horizontal="center" vertical="top"/>
    </xf>
    <xf numFmtId="165" fontId="3" fillId="3" borderId="103" xfId="0" applyNumberFormat="1" applyFont="1" applyFill="1" applyBorder="1" applyAlignment="1">
      <alignment horizontal="center"/>
    </xf>
    <xf numFmtId="10" fontId="3" fillId="3" borderId="103" xfId="2" applyNumberFormat="1" applyFont="1" applyFill="1" applyBorder="1" applyAlignment="1">
      <alignment horizontal="center" vertical="top"/>
    </xf>
    <xf numFmtId="165" fontId="5" fillId="3" borderId="103" xfId="0" applyNumberFormat="1" applyFont="1" applyFill="1" applyBorder="1" applyAlignment="1">
      <alignment horizontal="center" vertical="center"/>
    </xf>
    <xf numFmtId="165" fontId="3" fillId="3" borderId="103" xfId="0" applyNumberFormat="1" applyFont="1" applyFill="1" applyBorder="1" applyAlignment="1">
      <alignment horizontal="center" vertical="center"/>
    </xf>
    <xf numFmtId="165" fontId="5" fillId="4" borderId="103" xfId="0" applyNumberFormat="1" applyFont="1" applyFill="1" applyBorder="1" applyAlignment="1">
      <alignment horizontal="center" vertical="center"/>
    </xf>
    <xf numFmtId="165" fontId="3" fillId="4" borderId="103" xfId="0" applyNumberFormat="1" applyFont="1" applyFill="1" applyBorder="1" applyAlignment="1">
      <alignment horizontal="center" vertical="center"/>
    </xf>
    <xf numFmtId="3" fontId="3" fillId="3" borderId="103" xfId="0" applyNumberFormat="1" applyFont="1" applyFill="1" applyBorder="1" applyAlignment="1">
      <alignment horizontal="center" vertical="center"/>
    </xf>
    <xf numFmtId="165" fontId="3" fillId="4" borderId="102" xfId="0" applyNumberFormat="1" applyFont="1" applyFill="1" applyBorder="1" applyAlignment="1">
      <alignment horizontal="center" vertical="center"/>
    </xf>
    <xf numFmtId="165" fontId="18" fillId="8" borderId="0" xfId="5" applyNumberFormat="1" applyFont="1" applyFill="1" applyBorder="1" applyAlignment="1">
      <alignment horizontal="right"/>
    </xf>
    <xf numFmtId="3" fontId="10" fillId="0" borderId="0" xfId="0" quotePrefix="1" applyNumberFormat="1" applyFont="1" applyFill="1" applyBorder="1" applyAlignment="1">
      <alignment vertical="center"/>
    </xf>
    <xf numFmtId="167" fontId="18" fillId="4" borderId="0" xfId="5" applyNumberFormat="1" applyFont="1" applyFill="1" applyBorder="1" applyAlignment="1">
      <alignment horizontal="center"/>
    </xf>
    <xf numFmtId="0" fontId="18" fillId="0" borderId="103" xfId="0" applyFont="1" applyFill="1" applyBorder="1" applyAlignment="1">
      <alignment horizontal="center" vertical="center"/>
    </xf>
    <xf numFmtId="1" fontId="18" fillId="0" borderId="103" xfId="0" applyNumberFormat="1" applyFont="1" applyFill="1" applyBorder="1" applyAlignment="1">
      <alignment horizontal="center" vertical="center"/>
    </xf>
    <xf numFmtId="0" fontId="18" fillId="3" borderId="103" xfId="0" applyFont="1" applyFill="1" applyBorder="1" applyAlignment="1">
      <alignment horizontal="center" vertical="center"/>
    </xf>
    <xf numFmtId="1" fontId="18" fillId="3" borderId="103" xfId="0" applyNumberFormat="1" applyFont="1" applyFill="1" applyBorder="1" applyAlignment="1">
      <alignment horizontal="center" vertical="center"/>
    </xf>
    <xf numFmtId="165" fontId="18" fillId="0" borderId="103" xfId="0" applyNumberFormat="1" applyFont="1" applyFill="1" applyBorder="1" applyAlignment="1">
      <alignment horizontal="center"/>
    </xf>
    <xf numFmtId="165" fontId="18" fillId="0" borderId="103" xfId="0" applyNumberFormat="1" applyFont="1" applyFill="1" applyBorder="1" applyAlignment="1">
      <alignment horizontal="center" shrinkToFit="1"/>
    </xf>
    <xf numFmtId="10" fontId="18" fillId="4" borderId="103" xfId="0" applyNumberFormat="1" applyFont="1" applyFill="1" applyBorder="1" applyAlignment="1">
      <alignment horizontal="center" vertical="center"/>
    </xf>
    <xf numFmtId="10" fontId="18" fillId="4" borderId="103" xfId="2" applyNumberFormat="1" applyFont="1" applyFill="1" applyBorder="1" applyAlignment="1">
      <alignment horizontal="center" vertical="top" shrinkToFit="1"/>
    </xf>
    <xf numFmtId="165" fontId="18" fillId="3" borderId="103" xfId="0" applyNumberFormat="1" applyFont="1" applyFill="1" applyBorder="1" applyAlignment="1">
      <alignment horizontal="center"/>
    </xf>
    <xf numFmtId="165" fontId="18" fillId="3" borderId="103" xfId="0" applyNumberFormat="1" applyFont="1" applyFill="1" applyBorder="1" applyAlignment="1">
      <alignment horizontal="center" shrinkToFit="1"/>
    </xf>
    <xf numFmtId="10" fontId="18" fillId="3" borderId="103" xfId="0" applyNumberFormat="1" applyFont="1" applyFill="1" applyBorder="1" applyAlignment="1">
      <alignment horizontal="center" vertical="center"/>
    </xf>
    <xf numFmtId="10" fontId="18" fillId="3" borderId="103" xfId="2" applyNumberFormat="1" applyFont="1" applyFill="1" applyBorder="1" applyAlignment="1">
      <alignment horizontal="center" vertical="top" shrinkToFit="1"/>
    </xf>
    <xf numFmtId="10" fontId="18" fillId="0" borderId="103" xfId="0" quotePrefix="1" applyNumberFormat="1" applyFont="1" applyFill="1" applyBorder="1" applyAlignment="1">
      <alignment horizontal="center" vertical="top" shrinkToFit="1"/>
    </xf>
    <xf numFmtId="10" fontId="18" fillId="0" borderId="103" xfId="2" applyNumberFormat="1" applyFont="1" applyFill="1" applyBorder="1" applyAlignment="1">
      <alignment horizontal="center" vertical="top" shrinkToFit="1"/>
    </xf>
    <xf numFmtId="165" fontId="19" fillId="3" borderId="103" xfId="0" applyNumberFormat="1" applyFont="1" applyFill="1" applyBorder="1" applyAlignment="1">
      <alignment horizontal="center" vertical="center" shrinkToFit="1"/>
    </xf>
    <xf numFmtId="165" fontId="18" fillId="3" borderId="103" xfId="0" quotePrefix="1" applyNumberFormat="1" applyFont="1" applyFill="1" applyBorder="1" applyAlignment="1">
      <alignment horizontal="center" vertical="center" shrinkToFit="1"/>
    </xf>
    <xf numFmtId="165" fontId="18" fillId="3" borderId="103" xfId="0" applyNumberFormat="1" applyFont="1" applyFill="1" applyBorder="1" applyAlignment="1">
      <alignment horizontal="center" vertical="center" shrinkToFit="1"/>
    </xf>
    <xf numFmtId="10" fontId="18" fillId="3" borderId="103" xfId="0" quotePrefix="1" applyNumberFormat="1" applyFont="1" applyFill="1" applyBorder="1" applyAlignment="1">
      <alignment horizontal="center" vertical="top" shrinkToFit="1"/>
    </xf>
    <xf numFmtId="165" fontId="19" fillId="0" borderId="103" xfId="0" applyNumberFormat="1" applyFont="1" applyFill="1" applyBorder="1" applyAlignment="1">
      <alignment horizontal="center" vertical="center" shrinkToFit="1"/>
    </xf>
    <xf numFmtId="165" fontId="19" fillId="0" borderId="103" xfId="2" applyNumberFormat="1" applyFont="1" applyFill="1" applyBorder="1" applyAlignment="1">
      <alignment horizontal="center" vertical="center" shrinkToFit="1"/>
    </xf>
    <xf numFmtId="165" fontId="18" fillId="0" borderId="103" xfId="0" quotePrefix="1" applyNumberFormat="1" applyFont="1" applyFill="1" applyBorder="1" applyAlignment="1">
      <alignment horizontal="center" vertical="center" shrinkToFit="1"/>
    </xf>
    <xf numFmtId="165" fontId="18" fillId="0" borderId="103" xfId="2" applyNumberFormat="1" applyFont="1" applyFill="1" applyBorder="1" applyAlignment="1">
      <alignment horizontal="center" vertical="center" shrinkToFit="1"/>
    </xf>
    <xf numFmtId="10" fontId="18" fillId="3" borderId="103" xfId="2" quotePrefix="1" applyNumberFormat="1" applyFont="1" applyFill="1" applyBorder="1" applyAlignment="1">
      <alignment horizontal="center" vertical="top" shrinkToFit="1"/>
    </xf>
    <xf numFmtId="165" fontId="18" fillId="0" borderId="103" xfId="0" quotePrefix="1" applyNumberFormat="1" applyFont="1" applyFill="1" applyBorder="1" applyAlignment="1">
      <alignment horizontal="center" shrinkToFit="1"/>
    </xf>
    <xf numFmtId="10" fontId="18" fillId="0" borderId="103" xfId="2" quotePrefix="1" applyNumberFormat="1" applyFont="1" applyFill="1" applyBorder="1" applyAlignment="1">
      <alignment horizontal="center" vertical="top" shrinkToFit="1"/>
    </xf>
    <xf numFmtId="3" fontId="18" fillId="3" borderId="103" xfId="0" quotePrefix="1" applyNumberFormat="1" applyFont="1" applyFill="1" applyBorder="1" applyAlignment="1">
      <alignment horizontal="center" vertical="center" shrinkToFit="1"/>
    </xf>
    <xf numFmtId="3" fontId="18" fillId="3" borderId="103" xfId="0" applyNumberFormat="1" applyFont="1" applyFill="1" applyBorder="1" applyAlignment="1">
      <alignment horizontal="center" vertical="center" shrinkToFit="1"/>
    </xf>
    <xf numFmtId="3" fontId="3" fillId="0" borderId="103" xfId="0" quotePrefix="1" applyNumberFormat="1" applyFont="1" applyFill="1" applyBorder="1" applyAlignment="1">
      <alignment horizontal="center" vertical="center"/>
    </xf>
    <xf numFmtId="165" fontId="18" fillId="0" borderId="103" xfId="0" applyNumberFormat="1" applyFont="1" applyFill="1" applyBorder="1" applyAlignment="1">
      <alignment horizontal="center" vertical="center" shrinkToFit="1"/>
    </xf>
    <xf numFmtId="0" fontId="7" fillId="0" borderId="104" xfId="0" applyFont="1" applyFill="1" applyBorder="1" applyAlignment="1">
      <alignment vertical="center"/>
    </xf>
    <xf numFmtId="165" fontId="3" fillId="0" borderId="104" xfId="0" applyNumberFormat="1" applyFont="1" applyBorder="1" applyAlignment="1">
      <alignment horizontal="center" vertical="center"/>
    </xf>
    <xf numFmtId="165" fontId="3" fillId="0" borderId="104" xfId="0" applyNumberFormat="1" applyFont="1" applyFill="1" applyBorder="1" applyAlignment="1">
      <alignment horizontal="center" vertical="center"/>
    </xf>
    <xf numFmtId="165" fontId="3" fillId="4" borderId="104" xfId="0" applyNumberFormat="1" applyFont="1" applyFill="1" applyBorder="1" applyAlignment="1">
      <alignment horizontal="center" vertical="center"/>
    </xf>
    <xf numFmtId="165" fontId="18" fillId="0" borderId="102" xfId="0" quotePrefix="1" applyNumberFormat="1" applyFont="1" applyFill="1" applyBorder="1" applyAlignment="1">
      <alignment horizontal="center" vertical="center" shrinkToFit="1"/>
    </xf>
    <xf numFmtId="165" fontId="18" fillId="0" borderId="102" xfId="0" applyNumberFormat="1" applyFont="1" applyFill="1" applyBorder="1" applyAlignment="1">
      <alignment horizontal="center" vertical="center" shrinkToFit="1"/>
    </xf>
    <xf numFmtId="165" fontId="18" fillId="3" borderId="0" xfId="5" applyNumberFormat="1" applyFont="1" applyFill="1" applyAlignment="1">
      <alignment horizontal="center"/>
    </xf>
    <xf numFmtId="165" fontId="18" fillId="3" borderId="0" xfId="5" applyNumberFormat="1" applyFont="1" applyFill="1" applyBorder="1" applyAlignment="1">
      <alignment horizontal="center"/>
    </xf>
    <xf numFmtId="165" fontId="18" fillId="8" borderId="0" xfId="5" applyNumberFormat="1" applyFont="1" applyFill="1" applyBorder="1" applyAlignment="1">
      <alignment horizontal="center"/>
    </xf>
    <xf numFmtId="164" fontId="9" fillId="0" borderId="0" xfId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0" fontId="24" fillId="9" borderId="81" xfId="3" applyFont="1" applyFill="1" applyBorder="1" applyAlignment="1">
      <alignment horizontal="center" vertical="center"/>
    </xf>
    <xf numFmtId="0" fontId="24" fillId="9" borderId="82" xfId="3" applyFont="1" applyFill="1" applyBorder="1" applyAlignment="1">
      <alignment horizontal="center" vertical="center"/>
    </xf>
    <xf numFmtId="0" fontId="24" fillId="9" borderId="79" xfId="3" applyFont="1" applyFill="1" applyBorder="1" applyAlignment="1">
      <alignment horizontal="center" vertical="center"/>
    </xf>
    <xf numFmtId="0" fontId="24" fillId="9" borderId="80" xfId="3" applyFont="1" applyFill="1" applyBorder="1" applyAlignment="1">
      <alignment horizontal="center" vertical="center"/>
    </xf>
    <xf numFmtId="164" fontId="7" fillId="0" borderId="99" xfId="1" applyFont="1" applyFill="1" applyBorder="1" applyAlignment="1">
      <alignment horizontal="left" vertical="center"/>
    </xf>
    <xf numFmtId="164" fontId="7" fillId="0" borderId="101" xfId="1" applyFont="1" applyFill="1" applyBorder="1" applyAlignment="1">
      <alignment horizontal="left" vertical="center"/>
    </xf>
    <xf numFmtId="164" fontId="7" fillId="3" borderId="99" xfId="1" applyFont="1" applyFill="1" applyBorder="1" applyAlignment="1">
      <alignment horizontal="left" vertical="center"/>
    </xf>
    <xf numFmtId="164" fontId="7" fillId="3" borderId="101" xfId="1" applyFont="1" applyFill="1" applyBorder="1" applyAlignment="1">
      <alignment horizontal="left" vertical="center"/>
    </xf>
    <xf numFmtId="164" fontId="9" fillId="3" borderId="0" xfId="1" applyFont="1" applyFill="1" applyBorder="1" applyAlignment="1">
      <alignment horizontal="right" vertical="center"/>
    </xf>
    <xf numFmtId="164" fontId="9" fillId="0" borderId="85" xfId="1" applyFont="1" applyFill="1" applyBorder="1" applyAlignment="1">
      <alignment horizontal="right" vertical="center"/>
    </xf>
    <xf numFmtId="0" fontId="7" fillId="0" borderId="96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24" fillId="5" borderId="81" xfId="3" applyFont="1" applyBorder="1" applyAlignment="1">
      <alignment horizontal="center" vertical="center"/>
    </xf>
    <xf numFmtId="0" fontId="24" fillId="5" borderId="82" xfId="3" applyFont="1" applyBorder="1" applyAlignment="1">
      <alignment horizontal="center" vertical="center"/>
    </xf>
    <xf numFmtId="0" fontId="24" fillId="5" borderId="79" xfId="3" applyFont="1" applyBorder="1" applyAlignment="1">
      <alignment horizontal="center" vertical="center"/>
    </xf>
    <xf numFmtId="0" fontId="24" fillId="5" borderId="80" xfId="3" applyFont="1" applyBorder="1" applyAlignment="1">
      <alignment horizontal="center" vertical="center"/>
    </xf>
    <xf numFmtId="164" fontId="7" fillId="0" borderId="85" xfId="1" applyFont="1" applyFill="1" applyBorder="1" applyAlignment="1">
      <alignment horizontal="left" vertical="center"/>
    </xf>
    <xf numFmtId="164" fontId="7" fillId="3" borderId="85" xfId="1" applyFont="1" applyFill="1" applyBorder="1" applyAlignment="1">
      <alignment horizontal="left" vertical="center"/>
    </xf>
    <xf numFmtId="164" fontId="9" fillId="3" borderId="85" xfId="1" applyFont="1" applyFill="1" applyBorder="1" applyAlignment="1">
      <alignment horizontal="right" vertical="center"/>
    </xf>
    <xf numFmtId="0" fontId="7" fillId="0" borderId="96" xfId="0" applyFont="1" applyFill="1" applyBorder="1" applyAlignment="1">
      <alignment horizontal="left" vertical="center"/>
    </xf>
    <xf numFmtId="164" fontId="9" fillId="0" borderId="87" xfId="1" applyFont="1" applyFill="1" applyBorder="1" applyAlignment="1">
      <alignment horizontal="right" vertical="center"/>
    </xf>
    <xf numFmtId="164" fontId="7" fillId="0" borderId="87" xfId="1" applyFont="1" applyFill="1" applyBorder="1" applyAlignment="1">
      <alignment horizontal="left" vertical="center"/>
    </xf>
    <xf numFmtId="164" fontId="7" fillId="3" borderId="87" xfId="1" applyFont="1" applyFill="1" applyBorder="1" applyAlignment="1">
      <alignment horizontal="left" vertical="center"/>
    </xf>
    <xf numFmtId="164" fontId="9" fillId="3" borderId="87" xfId="1" applyFont="1" applyFill="1" applyBorder="1" applyAlignment="1">
      <alignment horizontal="right" vertical="center"/>
    </xf>
    <xf numFmtId="164" fontId="7" fillId="0" borderId="0" xfId="1" applyFont="1" applyFill="1" applyBorder="1" applyAlignment="1">
      <alignment horizontal="left" vertical="center"/>
    </xf>
    <xf numFmtId="164" fontId="7" fillId="3" borderId="0" xfId="1" applyFont="1" applyFill="1" applyBorder="1" applyAlignment="1">
      <alignment horizontal="left" vertical="center"/>
    </xf>
    <xf numFmtId="0" fontId="24" fillId="5" borderId="75" xfId="3" applyFont="1" applyBorder="1" applyAlignment="1">
      <alignment horizontal="center" vertical="center"/>
    </xf>
    <xf numFmtId="0" fontId="24" fillId="5" borderId="10" xfId="3" applyFont="1" applyBorder="1" applyAlignment="1">
      <alignment horizontal="center" vertical="center"/>
    </xf>
    <xf numFmtId="164" fontId="7" fillId="3" borderId="0" xfId="5" applyNumberFormat="1" applyFont="1" applyBorder="1" applyAlignment="1">
      <alignment horizontal="left" vertical="center"/>
    </xf>
    <xf numFmtId="164" fontId="9" fillId="3" borderId="0" xfId="5" applyNumberFormat="1" applyFont="1" applyBorder="1" applyAlignment="1">
      <alignment horizontal="right" vertical="center"/>
    </xf>
    <xf numFmtId="164" fontId="9" fillId="0" borderId="2" xfId="1" applyFont="1" applyFill="1" applyBorder="1" applyAlignment="1">
      <alignment horizontal="right" vertical="center"/>
    </xf>
    <xf numFmtId="164" fontId="9" fillId="0" borderId="4" xfId="1" applyFont="1" applyFill="1" applyBorder="1" applyAlignment="1">
      <alignment horizontal="right" vertical="center"/>
    </xf>
    <xf numFmtId="0" fontId="7" fillId="0" borderId="15" xfId="0" applyFont="1" applyFill="1" applyBorder="1" applyAlignment="1">
      <alignment horizontal="center" vertical="center"/>
    </xf>
    <xf numFmtId="164" fontId="7" fillId="0" borderId="15" xfId="1" applyFont="1" applyFill="1" applyBorder="1" applyAlignment="1">
      <alignment horizontal="left" vertical="center"/>
    </xf>
    <xf numFmtId="0" fontId="10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5" fillId="0" borderId="5" xfId="0" applyFont="1" applyFill="1" applyBorder="1" applyAlignment="1">
      <alignment horizontal="center" vertical="top"/>
    </xf>
  </cellXfs>
  <cellStyles count="7">
    <cellStyle name="Dziesiętny" xfId="1" builtinId="3"/>
    <cellStyle name="Komórka wyróż" xfId="4" xr:uid="{00000000-0005-0000-0000-000001000000}"/>
    <cellStyle name="Nagłówek" xfId="3" xr:uid="{00000000-0005-0000-0000-000002000000}"/>
    <cellStyle name="Normalny" xfId="0" builtinId="0"/>
    <cellStyle name="Procentowy" xfId="2" builtinId="5"/>
    <cellStyle name="Wiersz szary1" xfId="5" xr:uid="{00000000-0005-0000-0000-000005000000}"/>
    <cellStyle name="Wiersz szary2" xfId="6" xr:uid="{00000000-0005-0000-0000-000006000000}"/>
  </cellStyles>
  <dxfs count="0"/>
  <tableStyles count="0" defaultTableStyle="TableStyleMedium2" defaultPivotStyle="PivotStyleLight16"/>
  <colors>
    <mruColors>
      <color rgb="FFE6E8EB"/>
      <color rgb="FF152E52"/>
      <color rgb="FF007070"/>
      <color rgb="FF007A70"/>
      <color rgb="FFB4DC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NBP">
      <a:dk1>
        <a:sysClr val="windowText" lastClr="000000"/>
      </a:dk1>
      <a:lt1>
        <a:sysClr val="window" lastClr="FFFFFF"/>
      </a:lt1>
      <a:dk2>
        <a:srgbClr val="FFFFFF"/>
      </a:dk2>
      <a:lt2>
        <a:srgbClr val="007A70"/>
      </a:lt2>
      <a:accent1>
        <a:srgbClr val="007A70"/>
      </a:accent1>
      <a:accent2>
        <a:srgbClr val="5F327D"/>
      </a:accent2>
      <a:accent3>
        <a:srgbClr val="64BED4"/>
      </a:accent3>
      <a:accent4>
        <a:srgbClr val="6E6E73"/>
      </a:accent4>
      <a:accent5>
        <a:srgbClr val="44B4A7"/>
      </a:accent5>
      <a:accent6>
        <a:srgbClr val="006EA2"/>
      </a:accent6>
      <a:hlink>
        <a:srgbClr val="00695F"/>
      </a:hlink>
      <a:folHlink>
        <a:srgbClr val="00695F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25BCA-7E29-48EC-802E-38F4526A384E}">
  <sheetPr>
    <pageSetUpPr fitToPage="1"/>
  </sheetPr>
  <dimension ref="A1:X2057"/>
  <sheetViews>
    <sheetView tabSelected="1" view="pageBreakPreview" topLeftCell="A5" zoomScale="70" zoomScaleNormal="60" zoomScaleSheetLayoutView="70" workbookViewId="0">
      <pane xSplit="4" ySplit="2" topLeftCell="E7" activePane="bottomRight" state="frozen"/>
      <selection activeCell="C34" sqref="C34"/>
      <selection pane="topRight" activeCell="C34" sqref="C34"/>
      <selection pane="bottomLeft" activeCell="C34" sqref="C34"/>
      <selection pane="bottomRight" activeCell="H15" sqref="H15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0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6.699218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  <c r="K2" s="588"/>
    </row>
    <row r="3" spans="1:24" ht="19.5" customHeight="1" x14ac:dyDescent="0.4">
      <c r="A3" s="958" t="s">
        <v>42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</row>
    <row r="4" spans="1:24" s="134" customFormat="1" ht="24" customHeight="1" x14ac:dyDescent="0.25">
      <c r="A4" s="959" t="s">
        <v>453</v>
      </c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</row>
    <row r="5" spans="1:24" ht="42" customHeight="1" thickBot="1" x14ac:dyDescent="0.45">
      <c r="A5" s="858" t="s">
        <v>1</v>
      </c>
      <c r="B5" s="960" t="s">
        <v>2</v>
      </c>
      <c r="C5" s="961"/>
      <c r="D5" s="859" t="s">
        <v>3</v>
      </c>
      <c r="E5" s="860" t="s">
        <v>441</v>
      </c>
      <c r="F5" s="860" t="s">
        <v>442</v>
      </c>
      <c r="G5" s="860" t="s">
        <v>443</v>
      </c>
      <c r="H5" s="860" t="s">
        <v>454</v>
      </c>
      <c r="I5" s="860" t="s">
        <v>444</v>
      </c>
      <c r="J5" s="860" t="s">
        <v>445</v>
      </c>
      <c r="K5" s="860" t="s">
        <v>446</v>
      </c>
      <c r="L5" s="860" t="s">
        <v>455</v>
      </c>
      <c r="M5" s="860" t="s">
        <v>447</v>
      </c>
      <c r="N5" s="860" t="s">
        <v>448</v>
      </c>
      <c r="O5" s="860" t="s">
        <v>449</v>
      </c>
      <c r="P5" s="860" t="s">
        <v>456</v>
      </c>
      <c r="Q5" s="860" t="s">
        <v>450</v>
      </c>
      <c r="R5" s="860" t="s">
        <v>451</v>
      </c>
      <c r="S5" s="860" t="s">
        <v>452</v>
      </c>
      <c r="T5" s="860" t="s">
        <v>457</v>
      </c>
      <c r="U5" s="861" t="s">
        <v>46</v>
      </c>
      <c r="V5" s="862" t="s">
        <v>58</v>
      </c>
      <c r="W5" s="233"/>
      <c r="X5" s="233"/>
    </row>
    <row r="6" spans="1:24" ht="44.25" customHeight="1" thickTop="1" x14ac:dyDescent="0.35">
      <c r="A6" s="863"/>
      <c r="B6" s="962"/>
      <c r="C6" s="963"/>
      <c r="D6" s="864" t="s">
        <v>4</v>
      </c>
      <c r="E6" s="865"/>
      <c r="F6" s="865"/>
      <c r="G6" s="865"/>
      <c r="H6" s="866" t="s">
        <v>45</v>
      </c>
      <c r="I6" s="867"/>
      <c r="J6" s="867"/>
      <c r="K6" s="867"/>
      <c r="L6" s="866" t="s">
        <v>45</v>
      </c>
      <c r="M6" s="867"/>
      <c r="N6" s="867"/>
      <c r="O6" s="867"/>
      <c r="P6" s="866" t="s">
        <v>45</v>
      </c>
      <c r="Q6" s="867"/>
      <c r="R6" s="867"/>
      <c r="S6" s="867"/>
      <c r="T6" s="866" t="s">
        <v>45</v>
      </c>
      <c r="U6" s="868" t="s">
        <v>53</v>
      </c>
      <c r="V6" s="869" t="s">
        <v>53</v>
      </c>
      <c r="W6" s="233"/>
      <c r="X6" s="233"/>
    </row>
    <row r="7" spans="1:24" ht="30" customHeight="1" x14ac:dyDescent="0.25">
      <c r="A7" s="870" t="s">
        <v>5</v>
      </c>
      <c r="B7" s="964" t="s">
        <v>6</v>
      </c>
      <c r="C7" s="965"/>
      <c r="D7" s="879"/>
      <c r="E7" s="792">
        <v>21</v>
      </c>
      <c r="F7" s="792">
        <v>20</v>
      </c>
      <c r="G7" s="792">
        <v>23</v>
      </c>
      <c r="H7" s="903">
        <f t="shared" ref="H7:H15" si="0">AVERAGE(E7:G7)</f>
        <v>21.333333333333332</v>
      </c>
      <c r="I7" s="326">
        <v>19</v>
      </c>
      <c r="J7" s="326">
        <v>21</v>
      </c>
      <c r="K7" s="326">
        <v>21</v>
      </c>
      <c r="L7" s="903">
        <f>AVERAGE(I7:K7)</f>
        <v>20.333333333333332</v>
      </c>
      <c r="M7" s="326">
        <v>21</v>
      </c>
      <c r="N7" s="326">
        <v>22</v>
      </c>
      <c r="O7" s="326">
        <v>21</v>
      </c>
      <c r="P7" s="903">
        <f>AVERAGE(M7:O7)</f>
        <v>21.333333333333332</v>
      </c>
      <c r="Q7" s="502">
        <v>22</v>
      </c>
      <c r="R7" s="502">
        <v>21</v>
      </c>
      <c r="S7" s="502">
        <v>19</v>
      </c>
      <c r="T7" s="903">
        <f>AVERAGE(Q7:S7)</f>
        <v>20.666666666666668</v>
      </c>
      <c r="U7" s="918">
        <f>SUM(E7:G7,I7:K7,M7:O7,Q7:S7)</f>
        <v>251</v>
      </c>
      <c r="V7" s="919">
        <f>AVERAGE(E7:G7,I7:K7,M7:O7,Q7:S7)</f>
        <v>20.916666666666668</v>
      </c>
      <c r="W7" s="233"/>
      <c r="X7" s="233"/>
    </row>
    <row r="8" spans="1:24" ht="30" customHeight="1" x14ac:dyDescent="0.25">
      <c r="A8" s="871" t="s">
        <v>7</v>
      </c>
      <c r="B8" s="966" t="s">
        <v>40</v>
      </c>
      <c r="C8" s="967"/>
      <c r="D8" s="880"/>
      <c r="E8" s="793">
        <v>39</v>
      </c>
      <c r="F8" s="793">
        <v>39</v>
      </c>
      <c r="G8" s="793">
        <v>39</v>
      </c>
      <c r="H8" s="904">
        <f t="shared" si="0"/>
        <v>39</v>
      </c>
      <c r="I8" s="504">
        <v>39</v>
      </c>
      <c r="J8" s="504">
        <v>39</v>
      </c>
      <c r="K8" s="504">
        <v>39</v>
      </c>
      <c r="L8" s="904">
        <f>AVERAGE(I8:K8)</f>
        <v>39</v>
      </c>
      <c r="M8" s="504">
        <v>39</v>
      </c>
      <c r="N8" s="504">
        <v>39</v>
      </c>
      <c r="O8" s="504">
        <v>39</v>
      </c>
      <c r="P8" s="904">
        <f>AVERAGE(M8:O8)</f>
        <v>39</v>
      </c>
      <c r="Q8" s="505">
        <v>40</v>
      </c>
      <c r="R8" s="505">
        <v>39</v>
      </c>
      <c r="S8" s="505">
        <v>39</v>
      </c>
      <c r="T8" s="904">
        <f>AVERAGE(Q8:S8)</f>
        <v>39.333333333333336</v>
      </c>
      <c r="U8" s="920" t="s">
        <v>11</v>
      </c>
      <c r="V8" s="921">
        <f>AVERAGE(E8:G8,I8:K8,M8:O8,Q8:S8)</f>
        <v>39.083333333333336</v>
      </c>
      <c r="W8" s="233"/>
      <c r="X8" s="233"/>
    </row>
    <row r="9" spans="1:24" ht="33.75" customHeight="1" x14ac:dyDescent="0.35">
      <c r="A9" s="870" t="s">
        <v>12</v>
      </c>
      <c r="B9" s="506" t="s">
        <v>27</v>
      </c>
      <c r="C9" s="891" t="s">
        <v>181</v>
      </c>
      <c r="D9" s="881" t="s">
        <v>9</v>
      </c>
      <c r="E9" s="794">
        <v>315987.88636726001</v>
      </c>
      <c r="F9" s="794">
        <v>293212.23106955003</v>
      </c>
      <c r="G9" s="794">
        <v>335920.84133947</v>
      </c>
      <c r="H9" s="905">
        <f t="shared" si="0"/>
        <v>315040.31959209335</v>
      </c>
      <c r="I9" s="808">
        <v>322413.10183997999</v>
      </c>
      <c r="J9" s="813">
        <v>342476.26382935012</v>
      </c>
      <c r="K9" s="813">
        <v>335321.02771733992</v>
      </c>
      <c r="L9" s="905">
        <f>AVERAGE(I9:K9)</f>
        <v>333403.46446222335</v>
      </c>
      <c r="M9" s="794">
        <v>336211.15489254001</v>
      </c>
      <c r="N9" s="794">
        <v>336064.62818363996</v>
      </c>
      <c r="O9" s="794">
        <v>333841.10565719998</v>
      </c>
      <c r="P9" s="905">
        <f>AVERAGE(M9:O9)</f>
        <v>335372.29624445998</v>
      </c>
      <c r="Q9" s="508">
        <v>357390.71022027009</v>
      </c>
      <c r="R9" s="508">
        <v>344894.55096111004</v>
      </c>
      <c r="S9" s="508">
        <v>360946.17284927005</v>
      </c>
      <c r="T9" s="905">
        <f>AVERAGE(Q9:S9)</f>
        <v>354410.47801021673</v>
      </c>
      <c r="U9" s="922">
        <f>SUM(E9:G9,I9:K9,M9:O9,Q9:S9)</f>
        <v>4014679.6749269799</v>
      </c>
      <c r="V9" s="923">
        <f>AVERAGE(E9:G9,I9:K9,M9:O9,Q9:S9)</f>
        <v>334556.63957724831</v>
      </c>
      <c r="W9" s="317"/>
      <c r="X9" s="233"/>
    </row>
    <row r="10" spans="1:24" ht="30" customHeight="1" x14ac:dyDescent="0.35">
      <c r="A10" s="870"/>
      <c r="B10" s="509" t="s">
        <v>28</v>
      </c>
      <c r="C10" s="892" t="s">
        <v>10</v>
      </c>
      <c r="D10" s="882"/>
      <c r="E10" s="795">
        <f>E9/E15</f>
        <v>0.47644600695151113</v>
      </c>
      <c r="F10" s="795">
        <f t="shared" ref="F10:G10" si="1">F9/F15</f>
        <v>0.46818730496622385</v>
      </c>
      <c r="G10" s="795">
        <f t="shared" si="1"/>
        <v>0.46359210589809657</v>
      </c>
      <c r="H10" s="906">
        <f t="shared" si="0"/>
        <v>0.46940847260527718</v>
      </c>
      <c r="I10" s="513">
        <f>I9/I15</f>
        <v>0.46976260828947941</v>
      </c>
      <c r="J10" s="513">
        <f>J9/J15</f>
        <v>0.47929361282351135</v>
      </c>
      <c r="K10" s="513">
        <f>K9/K15</f>
        <v>0.47363350757164141</v>
      </c>
      <c r="L10" s="906">
        <f>SUM(I9:K9)/SUM(I15:K15)</f>
        <v>0.4742915297085577</v>
      </c>
      <c r="M10" s="513">
        <f>M9/M15</f>
        <v>0.48025813249451893</v>
      </c>
      <c r="N10" s="513">
        <f>N9/N15</f>
        <v>0.47495753622190545</v>
      </c>
      <c r="O10" s="513">
        <f>O9/O15</f>
        <v>0.47953661096921191</v>
      </c>
      <c r="P10" s="906">
        <f>SUM(M9:O9)/SUM(M15:O15)</f>
        <v>0.47823663592380272</v>
      </c>
      <c r="Q10" s="513">
        <f>Q9/Q15</f>
        <v>0.47318715637503589</v>
      </c>
      <c r="R10" s="513">
        <f>R9/R15</f>
        <v>0.47196032616143374</v>
      </c>
      <c r="S10" s="513">
        <f>S9/S15</f>
        <v>0.47778198650067577</v>
      </c>
      <c r="T10" s="906">
        <f>SUM(Q9:S9)/SUM(Q15:S15)</f>
        <v>0.47433579352045807</v>
      </c>
      <c r="U10" s="924" t="s">
        <v>11</v>
      </c>
      <c r="V10" s="925">
        <f>U9/U15</f>
        <v>0.47408512326672342</v>
      </c>
      <c r="W10" s="448"/>
      <c r="X10" s="402"/>
    </row>
    <row r="11" spans="1:24" ht="33" customHeight="1" x14ac:dyDescent="0.35">
      <c r="A11" s="871"/>
      <c r="B11" s="968" t="s">
        <v>29</v>
      </c>
      <c r="C11" s="893" t="s">
        <v>181</v>
      </c>
      <c r="D11" s="883" t="s">
        <v>9</v>
      </c>
      <c r="E11" s="796">
        <v>198303.92233961998</v>
      </c>
      <c r="F11" s="796">
        <v>188687.91904487001</v>
      </c>
      <c r="G11" s="796">
        <v>214851.08380290997</v>
      </c>
      <c r="H11" s="907">
        <f t="shared" si="0"/>
        <v>200614.30839579998</v>
      </c>
      <c r="I11" s="809">
        <v>204124.15241579997</v>
      </c>
      <c r="J11" s="814">
        <v>214897.68823869</v>
      </c>
      <c r="K11" s="814">
        <v>217120.10946231999</v>
      </c>
      <c r="L11" s="907">
        <f>AVERAGE(I11:K11)</f>
        <v>212047.3167056033</v>
      </c>
      <c r="M11" s="636">
        <v>211633.07477514999</v>
      </c>
      <c r="N11" s="838">
        <v>217452.80134593003</v>
      </c>
      <c r="O11" s="838">
        <v>208997.11763123001</v>
      </c>
      <c r="P11" s="907">
        <f>AVERAGE(M11:O11)</f>
        <v>212694.33125077002</v>
      </c>
      <c r="Q11" s="495">
        <v>229420.93025859995</v>
      </c>
      <c r="R11" s="495">
        <v>216657.44667902001</v>
      </c>
      <c r="S11" s="495">
        <v>228693.38394543002</v>
      </c>
      <c r="T11" s="907">
        <f>AVERAGE(Q11:S11)</f>
        <v>224923.92029435001</v>
      </c>
      <c r="U11" s="926">
        <f>SUM(E11:G11,I11:K11,M11:O11,Q11:S11)</f>
        <v>2550839.6299395701</v>
      </c>
      <c r="V11" s="927">
        <f>AVERAGE(E11:G11,I11:K11,M11:O11,Q11:S11)</f>
        <v>212569.96916163084</v>
      </c>
      <c r="W11" s="402"/>
      <c r="X11" s="233"/>
    </row>
    <row r="12" spans="1:24" ht="30" customHeight="1" x14ac:dyDescent="0.25">
      <c r="A12" s="871"/>
      <c r="B12" s="968"/>
      <c r="C12" s="894" t="s">
        <v>10</v>
      </c>
      <c r="D12" s="884"/>
      <c r="E12" s="797">
        <f>E11/E15</f>
        <v>0.29900232267677157</v>
      </c>
      <c r="F12" s="797">
        <f t="shared" ref="F12:G12" si="2">F11/F15</f>
        <v>0.30128786911466915</v>
      </c>
      <c r="G12" s="797">
        <f t="shared" si="2"/>
        <v>0.29650814756689609</v>
      </c>
      <c r="H12" s="908">
        <f t="shared" si="0"/>
        <v>0.29893277978611227</v>
      </c>
      <c r="I12" s="519">
        <f>I11/I15</f>
        <v>0.29741314390293444</v>
      </c>
      <c r="J12" s="519">
        <f>J11/J15</f>
        <v>0.30074811092503906</v>
      </c>
      <c r="K12" s="519">
        <f>K11/K15</f>
        <v>0.3066773345799918</v>
      </c>
      <c r="L12" s="908">
        <f>SUM(I11:K11)/SUM(I15:K15)</f>
        <v>0.3016532727790267</v>
      </c>
      <c r="M12" s="519">
        <f>M11/M15</f>
        <v>0.30230557132487818</v>
      </c>
      <c r="N12" s="519">
        <f t="shared" ref="N12:O12" si="3">N11/N15</f>
        <v>0.30732435998999974</v>
      </c>
      <c r="O12" s="519">
        <f t="shared" si="3"/>
        <v>0.30020799653750568</v>
      </c>
      <c r="P12" s="908">
        <f>SUM(M11:O11)/SUM(M15:O15)</f>
        <v>0.3032994155942047</v>
      </c>
      <c r="Q12" s="519">
        <f>Q11/Q15</f>
        <v>0.30375450311809815</v>
      </c>
      <c r="R12" s="519">
        <f>R11/R15</f>
        <v>0.29647821026741517</v>
      </c>
      <c r="S12" s="519">
        <f>S11/S15</f>
        <v>0.30271987210303031</v>
      </c>
      <c r="T12" s="908">
        <f>SUM(Q11:S11)/SUM(Q15:S15)</f>
        <v>0.30103361168536669</v>
      </c>
      <c r="U12" s="928" t="s">
        <v>11</v>
      </c>
      <c r="V12" s="929">
        <f>U11/U15</f>
        <v>0.30122331501218452</v>
      </c>
      <c r="W12" s="402"/>
      <c r="X12" s="233"/>
    </row>
    <row r="13" spans="1:24" ht="33" customHeight="1" x14ac:dyDescent="0.35">
      <c r="A13" s="870"/>
      <c r="B13" s="956" t="s">
        <v>30</v>
      </c>
      <c r="C13" s="891" t="s">
        <v>181</v>
      </c>
      <c r="D13" s="881" t="s">
        <v>9</v>
      </c>
      <c r="E13" s="794">
        <v>147163.50498113999</v>
      </c>
      <c r="F13" s="794">
        <v>142695.64559505001</v>
      </c>
      <c r="G13" s="794">
        <v>171880.35674532995</v>
      </c>
      <c r="H13" s="905">
        <f t="shared" si="0"/>
        <v>153913.16910717331</v>
      </c>
      <c r="I13" s="808">
        <v>157955.85480599001</v>
      </c>
      <c r="J13" s="813">
        <v>155027.58103720006</v>
      </c>
      <c r="K13" s="813">
        <v>153398.84080575002</v>
      </c>
      <c r="L13" s="905">
        <f>AVERAGE(I13:K13)</f>
        <v>155460.75888298001</v>
      </c>
      <c r="M13" s="794">
        <v>150075.66856453998</v>
      </c>
      <c r="N13" s="800">
        <v>151871.64511027999</v>
      </c>
      <c r="O13" s="800">
        <v>151438.07283265004</v>
      </c>
      <c r="P13" s="905">
        <f>AVERAGE(M13:O13)</f>
        <v>151128.46216915667</v>
      </c>
      <c r="Q13" s="508">
        <v>166488.60968293998</v>
      </c>
      <c r="R13" s="508">
        <v>167321.81077263999</v>
      </c>
      <c r="S13" s="508">
        <v>163926.84945009003</v>
      </c>
      <c r="T13" s="905">
        <f>AVERAGE(Q13:S13)</f>
        <v>165912.42330189</v>
      </c>
      <c r="U13" s="922">
        <f>SUM(E13:G13,I13:K13,M13:O13,Q13:S13)</f>
        <v>1879244.4403835998</v>
      </c>
      <c r="V13" s="923">
        <f>AVERAGE(E13:G13,I13:K13,M13:O13,Q13:S13)</f>
        <v>156603.7033653</v>
      </c>
      <c r="W13" s="402"/>
      <c r="X13" s="233"/>
    </row>
    <row r="14" spans="1:24" ht="30" customHeight="1" x14ac:dyDescent="0.25">
      <c r="A14" s="870"/>
      <c r="B14" s="956"/>
      <c r="C14" s="895" t="s">
        <v>10</v>
      </c>
      <c r="D14" s="885"/>
      <c r="E14" s="795">
        <f>E13/E15</f>
        <v>0.2218928868550378</v>
      </c>
      <c r="F14" s="795">
        <f t="shared" ref="F14:G14" si="4">F13/F15</f>
        <v>0.22784960060453593</v>
      </c>
      <c r="G14" s="795">
        <f t="shared" si="4"/>
        <v>0.23720581381123465</v>
      </c>
      <c r="H14" s="906">
        <f t="shared" si="0"/>
        <v>0.22898276709026946</v>
      </c>
      <c r="I14" s="521">
        <f>I13/I15</f>
        <v>0.23014497216395371</v>
      </c>
      <c r="J14" s="521">
        <f>J13/J15</f>
        <v>0.21696023126330743</v>
      </c>
      <c r="K14" s="521">
        <f>K13/K15</f>
        <v>0.21667245720568373</v>
      </c>
      <c r="L14" s="906">
        <f>SUM(I13:K13)/SUM(I15:K15)</f>
        <v>0.22115463394837134</v>
      </c>
      <c r="M14" s="521">
        <f>M13/M15</f>
        <v>0.21437438725288285</v>
      </c>
      <c r="N14" s="521">
        <f t="shared" ref="N14:O14" si="5">N13/N15</f>
        <v>0.21463901980225625</v>
      </c>
      <c r="O14" s="521">
        <f t="shared" si="5"/>
        <v>0.21752893513492794</v>
      </c>
      <c r="P14" s="906">
        <f>SUM(M13:O13)/SUM(M15:O15)</f>
        <v>0.21550726804050707</v>
      </c>
      <c r="Q14" s="513">
        <f>Q13/Q15</f>
        <v>0.22043178384840811</v>
      </c>
      <c r="R14" s="513">
        <f>R13/R15</f>
        <v>0.22896637875581097</v>
      </c>
      <c r="S14" s="513">
        <f>S13/S15</f>
        <v>0.2169888522512966</v>
      </c>
      <c r="T14" s="906">
        <f>SUM(Q13:S13)/SUM(Q15:S15)</f>
        <v>0.22205382133068727</v>
      </c>
      <c r="U14" s="930" t="s">
        <v>11</v>
      </c>
      <c r="V14" s="931">
        <f>U13/U15</f>
        <v>0.22191604419442704</v>
      </c>
      <c r="W14" s="233"/>
      <c r="X14" s="233"/>
    </row>
    <row r="15" spans="1:24" ht="33" customHeight="1" x14ac:dyDescent="0.25">
      <c r="A15" s="871" t="s">
        <v>17</v>
      </c>
      <c r="B15" s="522" t="s">
        <v>13</v>
      </c>
      <c r="C15" s="896" t="s">
        <v>8</v>
      </c>
      <c r="D15" s="886" t="s">
        <v>9</v>
      </c>
      <c r="E15" s="798">
        <f>E17+E19</f>
        <v>663218.66855191998</v>
      </c>
      <c r="F15" s="798">
        <f t="shared" ref="F15:G15" si="6">F17+F19</f>
        <v>626271.21231043001</v>
      </c>
      <c r="G15" s="798">
        <f t="shared" si="6"/>
        <v>724604.31716951984</v>
      </c>
      <c r="H15" s="909">
        <f t="shared" si="0"/>
        <v>671364.73267728998</v>
      </c>
      <c r="I15" s="524">
        <f>I17+I19</f>
        <v>686331.98162357998</v>
      </c>
      <c r="J15" s="524">
        <f>J17+J19</f>
        <v>714543.76746610017</v>
      </c>
      <c r="K15" s="524">
        <f>K17+K19</f>
        <v>707975.72882154991</v>
      </c>
      <c r="L15" s="909">
        <f>AVERAGE(I15:K15)</f>
        <v>702950.49263707676</v>
      </c>
      <c r="M15" s="524">
        <f>M17+M19</f>
        <v>700063.42869452003</v>
      </c>
      <c r="N15" s="524">
        <f t="shared" ref="N15:O15" si="7">N17+N19</f>
        <v>707567.73512196005</v>
      </c>
      <c r="O15" s="524">
        <f t="shared" si="7"/>
        <v>696174.38589821011</v>
      </c>
      <c r="P15" s="909">
        <f>AVERAGE(M15:O15)</f>
        <v>701268.51657156332</v>
      </c>
      <c r="Q15" s="524">
        <f>Q17+Q19</f>
        <v>755284.04650317994</v>
      </c>
      <c r="R15" s="524">
        <f>R17+R19</f>
        <v>730770.21911189007</v>
      </c>
      <c r="S15" s="524">
        <f>S17+S19</f>
        <v>755462.07903918019</v>
      </c>
      <c r="T15" s="909">
        <f>AVERAGE(Q15:S15)</f>
        <v>747172.11488474999</v>
      </c>
      <c r="U15" s="932">
        <f>SUM(E15:G15,I15:K15,M15:O15,Q15:S15)</f>
        <v>8468267.5703120399</v>
      </c>
      <c r="V15" s="932">
        <f>AVERAGE(E15:G15,I15:K15,M15:O15,Q15:S15)</f>
        <v>705688.96419266996</v>
      </c>
      <c r="W15" s="317"/>
      <c r="X15" s="233"/>
    </row>
    <row r="16" spans="1:24" ht="30" customHeight="1" x14ac:dyDescent="0.25">
      <c r="A16" s="871"/>
      <c r="B16" s="525" t="s">
        <v>14</v>
      </c>
      <c r="C16" s="897" t="s">
        <v>15</v>
      </c>
      <c r="D16" s="887" t="s">
        <v>9</v>
      </c>
      <c r="E16" s="799">
        <f>E15/E7</f>
        <v>31581.841359615239</v>
      </c>
      <c r="F16" s="799">
        <f t="shared" ref="F16:G16" si="8">F15/F7</f>
        <v>31313.560615521499</v>
      </c>
      <c r="G16" s="799">
        <f t="shared" si="8"/>
        <v>31504.535529109558</v>
      </c>
      <c r="H16" s="910">
        <f>SUM(E15:G15)/SUM(E7:G7)</f>
        <v>31470.221844247968</v>
      </c>
      <c r="I16" s="496">
        <f>I15/I7</f>
        <v>36122.73587492526</v>
      </c>
      <c r="J16" s="496">
        <f>J15/J7</f>
        <v>34025.893688861914</v>
      </c>
      <c r="K16" s="496">
        <f>K15/K7</f>
        <v>33713.12994388333</v>
      </c>
      <c r="L16" s="910">
        <f>SUM(I15:K15)/SUM(I7:K7)</f>
        <v>34571.335703462792</v>
      </c>
      <c r="M16" s="496">
        <f>M15/M7</f>
        <v>33336.353747358095</v>
      </c>
      <c r="N16" s="496">
        <f t="shared" ref="N16:O16" si="9">N15/N7</f>
        <v>32162.169778270913</v>
      </c>
      <c r="O16" s="496">
        <f t="shared" si="9"/>
        <v>33151.161233248102</v>
      </c>
      <c r="P16" s="910">
        <f>SUM(M15:O15)/SUM(M7:O7)</f>
        <v>32871.961714292032</v>
      </c>
      <c r="Q16" s="496">
        <f>Q15/Q7</f>
        <v>34331.093022871813</v>
      </c>
      <c r="R16" s="496">
        <f>R15/R7</f>
        <v>34798.581862470957</v>
      </c>
      <c r="S16" s="496">
        <f>S15/S7</f>
        <v>39761.162054693697</v>
      </c>
      <c r="T16" s="910">
        <f>SUM(Q15:S15)/SUM(Q7:S7)</f>
        <v>36153.489429907255</v>
      </c>
      <c r="U16" s="933" t="s">
        <v>11</v>
      </c>
      <c r="V16" s="934">
        <f>U15/U7</f>
        <v>33738.117810008131</v>
      </c>
      <c r="W16" s="233"/>
      <c r="X16" s="233"/>
    </row>
    <row r="17" spans="1:24" s="27" customFormat="1" ht="33" customHeight="1" x14ac:dyDescent="0.35">
      <c r="A17" s="872"/>
      <c r="B17" s="526" t="s">
        <v>36</v>
      </c>
      <c r="C17" s="891" t="s">
        <v>8</v>
      </c>
      <c r="D17" s="881" t="s">
        <v>9</v>
      </c>
      <c r="E17" s="800">
        <f>E9+E11+E13</f>
        <v>661455.31368801999</v>
      </c>
      <c r="F17" s="800">
        <f t="shared" ref="F17:G17" si="10">F9+F11+F13</f>
        <v>624595.79570947005</v>
      </c>
      <c r="G17" s="800">
        <f t="shared" si="10"/>
        <v>722652.28188770986</v>
      </c>
      <c r="H17" s="905">
        <f>AVERAGE(E17:G17)</f>
        <v>669567.79709506663</v>
      </c>
      <c r="I17" s="200">
        <v>684493.10906177002</v>
      </c>
      <c r="J17" s="200">
        <v>712401.5331052402</v>
      </c>
      <c r="K17" s="200">
        <v>705839.9779854099</v>
      </c>
      <c r="L17" s="905">
        <f>AVERAGE(I17:K17)</f>
        <v>700911.54005080683</v>
      </c>
      <c r="M17" s="200">
        <f>M9+M11+M13</f>
        <v>697919.89823222999</v>
      </c>
      <c r="N17" s="200">
        <f t="shared" ref="N17:O17" si="11">N9+N11+N13</f>
        <v>705389.07463985006</v>
      </c>
      <c r="O17" s="200">
        <f t="shared" si="11"/>
        <v>694276.29612108006</v>
      </c>
      <c r="P17" s="905">
        <f>AVERAGE(M17:O17)</f>
        <v>699195.0896643867</v>
      </c>
      <c r="Q17" s="200">
        <f>Q9+Q11+Q13</f>
        <v>753300.25016180996</v>
      </c>
      <c r="R17" s="200">
        <f t="shared" ref="R17:S17" si="12">R9+R11+R13</f>
        <v>728873.80841277004</v>
      </c>
      <c r="S17" s="200">
        <f t="shared" si="12"/>
        <v>753566.40624479018</v>
      </c>
      <c r="T17" s="905">
        <f>AVERAGE(Q17:S17)</f>
        <v>745246.82160645677</v>
      </c>
      <c r="U17" s="923">
        <f>SUM(E17:G17,I17:K17,M17:O17,Q17:S17)</f>
        <v>8444763.7452501506</v>
      </c>
      <c r="V17" s="923">
        <f>AVERAGE(E17:G17,I17:K17,M17:O17,Q18,Q18,Q17,Q17:S17)</f>
        <v>613204.39934392308</v>
      </c>
      <c r="W17" s="234"/>
      <c r="X17" s="234"/>
    </row>
    <row r="18" spans="1:24" s="25" customFormat="1" ht="30" customHeight="1" x14ac:dyDescent="0.25">
      <c r="A18" s="873"/>
      <c r="B18" s="527" t="s">
        <v>32</v>
      </c>
      <c r="C18" s="898" t="s">
        <v>10</v>
      </c>
      <c r="D18" s="885"/>
      <c r="E18" s="801">
        <f>E17/E15</f>
        <v>0.99734121648332041</v>
      </c>
      <c r="F18" s="801">
        <f t="shared" ref="F18:G18" si="13">F17/F15</f>
        <v>0.99732477468542891</v>
      </c>
      <c r="G18" s="801">
        <f t="shared" si="13"/>
        <v>0.99730606727622728</v>
      </c>
      <c r="H18" s="906">
        <f>AVERAGE(E18:G18)</f>
        <v>0.99732401948165883</v>
      </c>
      <c r="I18" s="521">
        <f>I17/I15</f>
        <v>0.99732072435636765</v>
      </c>
      <c r="J18" s="521">
        <f>J17/J15</f>
        <v>0.99700195501185784</v>
      </c>
      <c r="K18" s="521">
        <f>K17/K15</f>
        <v>0.99698329935731689</v>
      </c>
      <c r="L18" s="906">
        <f>SUM(I17:K17)/SUM(I15:K15)</f>
        <v>0.99709943643595589</v>
      </c>
      <c r="M18" s="521">
        <f>M17/M15</f>
        <v>0.99693809107227993</v>
      </c>
      <c r="N18" s="521">
        <f t="shared" ref="N18:O18" si="14">N17/N15</f>
        <v>0.99692091601416155</v>
      </c>
      <c r="O18" s="521">
        <f t="shared" si="14"/>
        <v>0.99727354264164558</v>
      </c>
      <c r="P18" s="906">
        <f>SUM(M17:O17)/SUM(M15:O15)</f>
        <v>0.99704331955851455</v>
      </c>
      <c r="Q18" s="513">
        <f>Q17/Q15</f>
        <v>0.9973734433415421</v>
      </c>
      <c r="R18" s="513">
        <f>R17/R15</f>
        <v>0.9974049151846599</v>
      </c>
      <c r="S18" s="513">
        <f>S17/S15</f>
        <v>0.99749071085500285</v>
      </c>
      <c r="T18" s="906">
        <f>SUM(Q17:S17)/SUM(Q15:S15)</f>
        <v>0.99742322653651205</v>
      </c>
      <c r="U18" s="930" t="s">
        <v>11</v>
      </c>
      <c r="V18" s="931">
        <f>U17/U15</f>
        <v>0.99722448247333506</v>
      </c>
      <c r="W18" s="235"/>
      <c r="X18" s="235"/>
    </row>
    <row r="19" spans="1:24" s="27" customFormat="1" ht="33" customHeight="1" x14ac:dyDescent="0.35">
      <c r="A19" s="874"/>
      <c r="B19" s="528" t="s">
        <v>36</v>
      </c>
      <c r="C19" s="893" t="s">
        <v>8</v>
      </c>
      <c r="D19" s="883" t="s">
        <v>9</v>
      </c>
      <c r="E19" s="796">
        <v>1763.3548638999996</v>
      </c>
      <c r="F19" s="796">
        <v>1675.4166009599999</v>
      </c>
      <c r="G19" s="796">
        <v>1952.03528181</v>
      </c>
      <c r="H19" s="907">
        <f>AVERAGE(E19:G19)</f>
        <v>1796.9355822233331</v>
      </c>
      <c r="I19" s="953">
        <v>1838.8725618100004</v>
      </c>
      <c r="J19" s="954">
        <v>2142.2343608599999</v>
      </c>
      <c r="K19" s="955">
        <v>2135.7508361399996</v>
      </c>
      <c r="L19" s="907">
        <f>AVERAGE(I19:K19)</f>
        <v>2038.95258627</v>
      </c>
      <c r="M19" s="636">
        <v>2143.5304622900003</v>
      </c>
      <c r="N19" s="838">
        <v>2178.66048211</v>
      </c>
      <c r="O19" s="838">
        <v>1898.0897771299997</v>
      </c>
      <c r="P19" s="907">
        <f>AVERAGE(M19:O19)</f>
        <v>2073.4269071766666</v>
      </c>
      <c r="Q19" s="495">
        <v>1983.7963413699995</v>
      </c>
      <c r="R19" s="495">
        <v>1896.4106991200001</v>
      </c>
      <c r="S19" s="495">
        <v>1895.6727943899998</v>
      </c>
      <c r="T19" s="907">
        <f>AVERAGE(Q19:S19)</f>
        <v>1925.2932782933331</v>
      </c>
      <c r="U19" s="927">
        <f>SUM(E19:G19,I19:K19,M19:O19,Q19:S19)</f>
        <v>23503.825061889998</v>
      </c>
      <c r="V19" s="927">
        <f>AVERAGE(E19:G19,I19:K19,M19:O19,Q19:S19)</f>
        <v>1958.6520884908332</v>
      </c>
      <c r="W19" s="234"/>
      <c r="X19" s="234"/>
    </row>
    <row r="20" spans="1:24" s="25" customFormat="1" ht="30" customHeight="1" x14ac:dyDescent="0.25">
      <c r="A20" s="875"/>
      <c r="B20" s="529" t="s">
        <v>31</v>
      </c>
      <c r="C20" s="899" t="s">
        <v>10</v>
      </c>
      <c r="D20" s="884"/>
      <c r="E20" s="802">
        <f>E19/E15</f>
        <v>2.6587835166795451E-3</v>
      </c>
      <c r="F20" s="802">
        <f t="shared" ref="F20:G20" si="15">F19/F15</f>
        <v>2.675225314571109E-3</v>
      </c>
      <c r="G20" s="802">
        <f t="shared" si="15"/>
        <v>2.69393272377278E-3</v>
      </c>
      <c r="H20" s="908">
        <f>AVERAGE(E20:G20)</f>
        <v>2.6759805183411444E-3</v>
      </c>
      <c r="I20" s="519">
        <f>I19/I15</f>
        <v>2.6792756436323749E-3</v>
      </c>
      <c r="J20" s="519">
        <f>J19/J15</f>
        <v>2.9980449881422178E-3</v>
      </c>
      <c r="K20" s="519">
        <f>K19/K15</f>
        <v>3.0167006426830914E-3</v>
      </c>
      <c r="L20" s="908">
        <f>SUM(I19:K19)/SUM(I15:K15)</f>
        <v>2.9005635640441635E-3</v>
      </c>
      <c r="M20" s="519">
        <f>M19/M15</f>
        <v>3.0619089277199654E-3</v>
      </c>
      <c r="N20" s="519">
        <f t="shared" ref="N20:O20" si="16">N19/N15</f>
        <v>3.0790839858384367E-3</v>
      </c>
      <c r="O20" s="519">
        <f t="shared" si="16"/>
        <v>2.7264573583543556E-3</v>
      </c>
      <c r="P20" s="908">
        <f>SUM(M19:O19)/SUM(M15:O15)</f>
        <v>2.9566804414854642E-3</v>
      </c>
      <c r="Q20" s="519">
        <f>Q19/Q15</f>
        <v>2.6265566584579608E-3</v>
      </c>
      <c r="R20" s="519">
        <f>R19/R15</f>
        <v>2.5950848153400677E-3</v>
      </c>
      <c r="S20" s="519">
        <f>S19/S15</f>
        <v>2.509289144997158E-3</v>
      </c>
      <c r="T20" s="908">
        <f>SUM(Q19:S19)/SUM(Q15:S15)</f>
        <v>2.5767734634881364E-3</v>
      </c>
      <c r="U20" s="935" t="s">
        <v>11</v>
      </c>
      <c r="V20" s="929">
        <f>U19/U15</f>
        <v>2.7755175266650114E-3</v>
      </c>
      <c r="W20" s="235"/>
      <c r="X20" s="235"/>
    </row>
    <row r="21" spans="1:24" ht="33" customHeight="1" x14ac:dyDescent="0.25">
      <c r="A21" s="870" t="s">
        <v>24</v>
      </c>
      <c r="B21" s="119" t="s">
        <v>37</v>
      </c>
      <c r="C21" s="900" t="s">
        <v>19</v>
      </c>
      <c r="D21" s="888" t="s">
        <v>16</v>
      </c>
      <c r="E21" s="803">
        <f>E23+E25</f>
        <v>179996.21800000002</v>
      </c>
      <c r="F21" s="803">
        <f t="shared" ref="F21:G21" si="17">F23+F25</f>
        <v>177124.155</v>
      </c>
      <c r="G21" s="803">
        <f t="shared" si="17"/>
        <v>201772.73199999999</v>
      </c>
      <c r="H21" s="911">
        <f>AVERAGE(E21:G21)</f>
        <v>186297.70166666666</v>
      </c>
      <c r="I21" s="218">
        <f>I23+I25</f>
        <v>179443.91099999999</v>
      </c>
      <c r="J21" s="218">
        <f>J23+J25</f>
        <v>191349.451</v>
      </c>
      <c r="K21" s="218">
        <f>K23+K25</f>
        <v>184997.41</v>
      </c>
      <c r="L21" s="911">
        <f>AVERAGE(I21:K21)</f>
        <v>185263.59066666666</v>
      </c>
      <c r="M21" s="218">
        <f>M23+M25</f>
        <v>180434.226</v>
      </c>
      <c r="N21" s="218">
        <f t="shared" ref="N21:O21" si="18">N23+N25</f>
        <v>178601.18899999998</v>
      </c>
      <c r="O21" s="218">
        <f t="shared" si="18"/>
        <v>180697.44</v>
      </c>
      <c r="P21" s="911">
        <f>AVERAGE(M21:O21)</f>
        <v>179910.95166666666</v>
      </c>
      <c r="Q21" s="531">
        <f>Q23+Q25</f>
        <v>193852.79399999999</v>
      </c>
      <c r="R21" s="531">
        <f>R23+R25</f>
        <v>184965.973</v>
      </c>
      <c r="S21" s="531">
        <f>S23+S25</f>
        <v>186582.05000000002</v>
      </c>
      <c r="T21" s="911">
        <f>AVERAGE(Q21:S21)</f>
        <v>188466.93900000001</v>
      </c>
      <c r="U21" s="936">
        <f>SUM(E21:G21,I21:K21,M21:O21,Q21:S21)</f>
        <v>2219817.5489999996</v>
      </c>
      <c r="V21" s="937">
        <f>AVERAGE(E21:G21,I21:K21,M21:O21,Q21:S21)</f>
        <v>184984.79574999996</v>
      </c>
      <c r="W21" s="233"/>
      <c r="X21" s="233"/>
    </row>
    <row r="22" spans="1:24" ht="30" customHeight="1" x14ac:dyDescent="0.25">
      <c r="A22" s="870"/>
      <c r="B22" s="2" t="s">
        <v>14</v>
      </c>
      <c r="C22" s="901" t="s">
        <v>38</v>
      </c>
      <c r="D22" s="889" t="s">
        <v>16</v>
      </c>
      <c r="E22" s="804">
        <f>E21/E7</f>
        <v>8571.248476190478</v>
      </c>
      <c r="F22" s="804">
        <f>F21/F7</f>
        <v>8856.2077499999996</v>
      </c>
      <c r="G22" s="804">
        <f>G21/G7</f>
        <v>8772.7274782608692</v>
      </c>
      <c r="H22" s="912">
        <f>SUM(E21:G21)/SUM(E7:G7)</f>
        <v>8732.7047656249997</v>
      </c>
      <c r="I22" s="221">
        <f>I21/I7</f>
        <v>9444.4163684210525</v>
      </c>
      <c r="J22" s="221">
        <f>J21/J7</f>
        <v>9111.8786190476185</v>
      </c>
      <c r="K22" s="221">
        <f>K21/K7</f>
        <v>8809.4004761904762</v>
      </c>
      <c r="L22" s="912">
        <f>SUM(I21:K21)/SUM(I7:K7)</f>
        <v>9111.3241311475413</v>
      </c>
      <c r="M22" s="221">
        <f>M21/M7</f>
        <v>8592.1059999999998</v>
      </c>
      <c r="N22" s="221">
        <f t="shared" ref="N22:O22" si="19">N21/N7</f>
        <v>8118.2358636363633</v>
      </c>
      <c r="O22" s="221">
        <f t="shared" si="19"/>
        <v>8604.64</v>
      </c>
      <c r="P22" s="912">
        <f>SUM(M21:O21)/SUM(M7:O7)</f>
        <v>8433.3258593749997</v>
      </c>
      <c r="Q22" s="532">
        <f>Q21/Q7</f>
        <v>8811.4906363636364</v>
      </c>
      <c r="R22" s="532">
        <f>R21/R7</f>
        <v>8807.9034761904768</v>
      </c>
      <c r="S22" s="532">
        <f>S21/S7</f>
        <v>9820.1078947368424</v>
      </c>
      <c r="T22" s="912">
        <f>SUM(Q21:S21)/SUM(Q7:S7)</f>
        <v>9119.3680161290322</v>
      </c>
      <c r="U22" s="938" t="s">
        <v>11</v>
      </c>
      <c r="V22" s="939">
        <f>U21/U7</f>
        <v>8843.8946175298788</v>
      </c>
      <c r="W22" s="233"/>
      <c r="X22" s="233"/>
    </row>
    <row r="23" spans="1:24" s="27" customFormat="1" ht="33" customHeight="1" x14ac:dyDescent="0.35">
      <c r="A23" s="874"/>
      <c r="B23" s="528" t="s">
        <v>36</v>
      </c>
      <c r="C23" s="893" t="s">
        <v>19</v>
      </c>
      <c r="D23" s="883" t="s">
        <v>16</v>
      </c>
      <c r="E23" s="796">
        <v>178314.05900000001</v>
      </c>
      <c r="F23" s="796">
        <v>175543.93900000001</v>
      </c>
      <c r="G23" s="796">
        <v>200048.041</v>
      </c>
      <c r="H23" s="907">
        <f>AVERAGE(E23:G23)</f>
        <v>184635.34633333332</v>
      </c>
      <c r="I23" s="495">
        <v>177896.429</v>
      </c>
      <c r="J23" s="495">
        <v>189620.451</v>
      </c>
      <c r="K23" s="495">
        <v>183352.641</v>
      </c>
      <c r="L23" s="907">
        <f>AVERAGE(I23:K23)</f>
        <v>183623.17366666664</v>
      </c>
      <c r="M23" s="838">
        <v>178747.66500000001</v>
      </c>
      <c r="N23" s="838">
        <v>176924.90999999997</v>
      </c>
      <c r="O23" s="838">
        <v>179107.291</v>
      </c>
      <c r="P23" s="907">
        <f>+AVERAGE(M23:O23)</f>
        <v>178259.95533333332</v>
      </c>
      <c r="Q23" s="495">
        <v>192147.386</v>
      </c>
      <c r="R23" s="495">
        <v>183409.592</v>
      </c>
      <c r="S23" s="495">
        <v>184930.71400000001</v>
      </c>
      <c r="T23" s="907">
        <f>+AVERAGE(Q23:S23)</f>
        <v>186829.23066666667</v>
      </c>
      <c r="U23" s="927">
        <f>SUM(E23:G23,I23:K23,M23:O23,Q23:S23)</f>
        <v>2200043.1179999998</v>
      </c>
      <c r="V23" s="927">
        <f>AVERAGE(E23:G23,I23:K23,L23:O24)</f>
        <v>130227.32594851912</v>
      </c>
      <c r="W23" s="234"/>
      <c r="X23" s="234"/>
    </row>
    <row r="24" spans="1:24" s="25" customFormat="1" ht="30" customHeight="1" x14ac:dyDescent="0.25">
      <c r="A24" s="875"/>
      <c r="B24" s="529" t="s">
        <v>32</v>
      </c>
      <c r="C24" s="899" t="s">
        <v>21</v>
      </c>
      <c r="D24" s="884"/>
      <c r="E24" s="802">
        <f>E23/E21</f>
        <v>0.99065447586237609</v>
      </c>
      <c r="F24" s="802">
        <f t="shared" ref="F24:G24" si="20">F23/F21</f>
        <v>0.99107848390300024</v>
      </c>
      <c r="G24" s="802">
        <f t="shared" si="20"/>
        <v>0.99145230882833069</v>
      </c>
      <c r="H24" s="908">
        <f>SUM(E23:G23)/SUM(E21:G21)</f>
        <v>0.99107688759194834</v>
      </c>
      <c r="I24" s="519">
        <f>I23/I21</f>
        <v>0.99137623566396749</v>
      </c>
      <c r="J24" s="519">
        <f>J23/J21</f>
        <v>0.99096417580001317</v>
      </c>
      <c r="K24" s="519">
        <f>K23/K21</f>
        <v>0.99110923228600878</v>
      </c>
      <c r="L24" s="908">
        <f>SUM(I23:K23)/SUM(I21:K21)</f>
        <v>0.99114549710443911</v>
      </c>
      <c r="M24" s="519">
        <f>M23/M21</f>
        <v>0.99065276562330262</v>
      </c>
      <c r="N24" s="519">
        <f t="shared" ref="N24:O24" si="21">N23/N21</f>
        <v>0.99061440178878091</v>
      </c>
      <c r="O24" s="519">
        <f t="shared" si="21"/>
        <v>0.9911999362027486</v>
      </c>
      <c r="P24" s="908">
        <f>SUM(M23:O23)/SUM(M21:O21)</f>
        <v>0.9908232582950689</v>
      </c>
      <c r="Q24" s="519">
        <f>Q23/Q21</f>
        <v>0.99120256167161569</v>
      </c>
      <c r="R24" s="519">
        <f>R23/R21</f>
        <v>0.99158558206811376</v>
      </c>
      <c r="S24" s="519">
        <f>S23/S21</f>
        <v>0.99114954520008747</v>
      </c>
      <c r="T24" s="908">
        <f>SUM(Q23:S23)/SUM(Q21:S21)</f>
        <v>0.99131036805700268</v>
      </c>
      <c r="U24" s="940" t="s">
        <v>11</v>
      </c>
      <c r="V24" s="929">
        <f>U23/U21</f>
        <v>0.99109186653249592</v>
      </c>
      <c r="W24" s="235"/>
      <c r="X24" s="236"/>
    </row>
    <row r="25" spans="1:24" s="27" customFormat="1" ht="33" customHeight="1" x14ac:dyDescent="0.35">
      <c r="A25" s="872"/>
      <c r="B25" s="526" t="s">
        <v>36</v>
      </c>
      <c r="C25" s="891" t="s">
        <v>19</v>
      </c>
      <c r="D25" s="881" t="s">
        <v>16</v>
      </c>
      <c r="E25" s="794">
        <v>1682.1590000000001</v>
      </c>
      <c r="F25" s="794">
        <v>1580.2159999999999</v>
      </c>
      <c r="G25" s="794">
        <v>1724.691</v>
      </c>
      <c r="H25" s="905">
        <f>AVERAGE(E25:G25)</f>
        <v>1662.3553333333332</v>
      </c>
      <c r="I25" s="444">
        <v>1547.482</v>
      </c>
      <c r="J25" s="444">
        <v>1729</v>
      </c>
      <c r="K25" s="444">
        <v>1644.769</v>
      </c>
      <c r="L25" s="905">
        <f>AVERAGE(I25:K25)</f>
        <v>1640.4170000000001</v>
      </c>
      <c r="M25" s="794">
        <v>1686.5609999999999</v>
      </c>
      <c r="N25" s="800">
        <v>1676.279</v>
      </c>
      <c r="O25" s="800">
        <v>1590.1489999999999</v>
      </c>
      <c r="P25" s="905">
        <f>AVERAGE(M25:O25)</f>
        <v>1650.9963333333333</v>
      </c>
      <c r="Q25" s="508">
        <v>1705.4079999999999</v>
      </c>
      <c r="R25" s="508">
        <v>1556.3810000000001</v>
      </c>
      <c r="S25" s="917">
        <v>1651.336</v>
      </c>
      <c r="T25" s="905">
        <f>AVERAGE(Q25:S25)</f>
        <v>1637.7083333333333</v>
      </c>
      <c r="U25" s="923">
        <f>SUM(E25:G25,I25:K25,M25:O25,Q25:S25)</f>
        <v>19774.431</v>
      </c>
      <c r="V25" s="941">
        <f>AVERAGE(E25:G25,I25:K25,M25:O25,Q25:S25)</f>
        <v>1647.86925</v>
      </c>
      <c r="W25" s="234"/>
      <c r="X25" s="234"/>
    </row>
    <row r="26" spans="1:24" s="25" customFormat="1" ht="30" customHeight="1" x14ac:dyDescent="0.25">
      <c r="A26" s="873"/>
      <c r="B26" s="527" t="s">
        <v>31</v>
      </c>
      <c r="C26" s="898" t="s">
        <v>21</v>
      </c>
      <c r="D26" s="885"/>
      <c r="E26" s="801">
        <f>E25/E21</f>
        <v>9.3455241376238247E-3</v>
      </c>
      <c r="F26" s="801">
        <f t="shared" ref="F26:G26" si="22">F25/F21</f>
        <v>8.9215160969998691E-3</v>
      </c>
      <c r="G26" s="801">
        <f t="shared" si="22"/>
        <v>8.5476911716693225E-3</v>
      </c>
      <c r="H26" s="906">
        <f>SUM(E25:G25)/SUM(E21:G21)</f>
        <v>8.9231124080516259E-3</v>
      </c>
      <c r="I26" s="521">
        <f>I25/I21</f>
        <v>8.623764336032555E-3</v>
      </c>
      <c r="J26" s="521">
        <f>J25/J21</f>
        <v>9.03582419998686E-3</v>
      </c>
      <c r="K26" s="521">
        <f>K25/K21</f>
        <v>8.8907677139912385E-3</v>
      </c>
      <c r="L26" s="906">
        <f>SUM(I25:K25)/SUM(I21:K21)</f>
        <v>8.8545028955608496E-3</v>
      </c>
      <c r="M26" s="521">
        <f>M25/M21</f>
        <v>9.3472343766974678E-3</v>
      </c>
      <c r="N26" s="521">
        <f t="shared" ref="N26:O26" si="23">N25/N21</f>
        <v>9.3855982112190754E-3</v>
      </c>
      <c r="O26" s="521">
        <f t="shared" si="23"/>
        <v>8.8000637972513607E-3</v>
      </c>
      <c r="P26" s="906">
        <f>SUM(M25:O25)/SUM(M21:O21)</f>
        <v>9.1767417049310428E-3</v>
      </c>
      <c r="Q26" s="513">
        <f>Q25/Q21</f>
        <v>8.7974383283843712E-3</v>
      </c>
      <c r="R26" s="513">
        <f>R25/R21</f>
        <v>8.4144179318863151E-3</v>
      </c>
      <c r="S26" s="513">
        <f>S25/S21</f>
        <v>8.8504547999124234E-3</v>
      </c>
      <c r="T26" s="906">
        <f>SUM(Q25:S25)/SUM(Q21:S21)</f>
        <v>8.6896319429973518E-3</v>
      </c>
      <c r="U26" s="942" t="s">
        <v>11</v>
      </c>
      <c r="V26" s="930">
        <f>U25/U21</f>
        <v>8.9081334675041816E-3</v>
      </c>
      <c r="W26" s="235"/>
      <c r="X26" s="235"/>
    </row>
    <row r="27" spans="1:24" ht="33" customHeight="1" x14ac:dyDescent="0.25">
      <c r="A27" s="871" t="s">
        <v>33</v>
      </c>
      <c r="B27" s="522" t="s">
        <v>34</v>
      </c>
      <c r="C27" s="897" t="s">
        <v>18</v>
      </c>
      <c r="D27" s="887"/>
      <c r="E27" s="805">
        <v>2464</v>
      </c>
      <c r="F27" s="805">
        <v>2461</v>
      </c>
      <c r="G27" s="805">
        <v>2461</v>
      </c>
      <c r="H27" s="913">
        <f>AVERAGE(E27:G27)</f>
        <v>2462</v>
      </c>
      <c r="I27" s="533">
        <v>2461</v>
      </c>
      <c r="J27" s="533">
        <v>2459</v>
      </c>
      <c r="K27" s="533">
        <v>2457</v>
      </c>
      <c r="L27" s="913">
        <f>AVERAGE(I27:K27)</f>
        <v>2459</v>
      </c>
      <c r="M27" s="533">
        <v>2458</v>
      </c>
      <c r="N27" s="533">
        <v>2458</v>
      </c>
      <c r="O27" s="533">
        <v>2458</v>
      </c>
      <c r="P27" s="913">
        <f>AVERAGE(M27:O27)</f>
        <v>2458</v>
      </c>
      <c r="Q27" s="534">
        <v>2458</v>
      </c>
      <c r="R27" s="534">
        <v>2458</v>
      </c>
      <c r="S27" s="534">
        <v>2458</v>
      </c>
      <c r="T27" s="913">
        <f>AVERAGE(Q27:S27)</f>
        <v>2458</v>
      </c>
      <c r="U27" s="943" t="s">
        <v>11</v>
      </c>
      <c r="V27" s="944">
        <f>AVERAGE(E27:G27,I27:K27,M27:O27,Q27:S27)</f>
        <v>2459.25</v>
      </c>
      <c r="W27" s="233"/>
      <c r="X27" s="233"/>
    </row>
    <row r="28" spans="1:24" ht="30" customHeight="1" x14ac:dyDescent="0.25">
      <c r="A28" s="876"/>
      <c r="B28" s="331"/>
      <c r="C28" s="900" t="s">
        <v>19</v>
      </c>
      <c r="D28" s="888" t="s">
        <v>16</v>
      </c>
      <c r="E28" s="803">
        <f>E21</f>
        <v>179996.21800000002</v>
      </c>
      <c r="F28" s="803">
        <f t="shared" ref="F28:G28" si="24">F21</f>
        <v>177124.155</v>
      </c>
      <c r="G28" s="803">
        <f t="shared" si="24"/>
        <v>201772.73199999999</v>
      </c>
      <c r="H28" s="911">
        <f>AVERAGE(E28:G28)</f>
        <v>186297.70166666666</v>
      </c>
      <c r="I28" s="218">
        <f>I21</f>
        <v>179443.91099999999</v>
      </c>
      <c r="J28" s="218">
        <f>J21</f>
        <v>191349.451</v>
      </c>
      <c r="K28" s="218">
        <f>K21</f>
        <v>184997.41</v>
      </c>
      <c r="L28" s="911">
        <f>AVERAGE(I28:J28)</f>
        <v>185396.68099999998</v>
      </c>
      <c r="M28" s="218">
        <f>M21</f>
        <v>180434.226</v>
      </c>
      <c r="N28" s="218">
        <f t="shared" ref="N28:O28" si="25">N21</f>
        <v>178601.18899999998</v>
      </c>
      <c r="O28" s="218">
        <f t="shared" si="25"/>
        <v>180697.44</v>
      </c>
      <c r="P28" s="911">
        <f>AVERAGE(M28:O28)</f>
        <v>179910.95166666666</v>
      </c>
      <c r="Q28" s="531">
        <f>Q21</f>
        <v>193852.79399999999</v>
      </c>
      <c r="R28" s="531">
        <f>R21</f>
        <v>184965.973</v>
      </c>
      <c r="S28" s="531">
        <f>S21</f>
        <v>186582.05000000002</v>
      </c>
      <c r="T28" s="911">
        <f>AVERAGE(Q28:S28)</f>
        <v>188466.93900000001</v>
      </c>
      <c r="U28" s="936">
        <f>SUM(E28:G28,I28:K28,M28:O28,Q28:S28)</f>
        <v>2219817.5489999996</v>
      </c>
      <c r="V28" s="936">
        <f>AVERAGE(E28:G28,I28:K28,M28:O28,Q28:S28)</f>
        <v>184984.79574999996</v>
      </c>
      <c r="W28" s="233"/>
      <c r="X28" s="233"/>
    </row>
    <row r="29" spans="1:24" ht="30" customHeight="1" x14ac:dyDescent="0.25">
      <c r="A29" s="877"/>
      <c r="B29" s="535"/>
      <c r="C29" s="897" t="s">
        <v>20</v>
      </c>
      <c r="D29" s="887" t="s">
        <v>16</v>
      </c>
      <c r="E29" s="799">
        <f>E28/E7</f>
        <v>8571.248476190478</v>
      </c>
      <c r="F29" s="799">
        <f t="shared" ref="F29:G29" si="26">F28/F7</f>
        <v>8856.2077499999996</v>
      </c>
      <c r="G29" s="799">
        <f t="shared" si="26"/>
        <v>8772.7274782608692</v>
      </c>
      <c r="H29" s="910">
        <f>SUM(E28:G28)/SUM(E7:G7)</f>
        <v>8732.7047656249997</v>
      </c>
      <c r="I29" s="496">
        <f>I28/I7</f>
        <v>9444.4163684210525</v>
      </c>
      <c r="J29" s="496">
        <f>J28/J7</f>
        <v>9111.8786190476185</v>
      </c>
      <c r="K29" s="496">
        <f>K28/K7</f>
        <v>8809.4004761904762</v>
      </c>
      <c r="L29" s="910">
        <f>SUM(I28:K28)/SUM(I7:K7)</f>
        <v>9111.3241311475413</v>
      </c>
      <c r="M29" s="496">
        <f>M28/M7</f>
        <v>8592.1059999999998</v>
      </c>
      <c r="N29" s="496">
        <f t="shared" ref="N29:O29" si="27">N28/N7</f>
        <v>8118.2358636363633</v>
      </c>
      <c r="O29" s="496">
        <f t="shared" si="27"/>
        <v>8604.64</v>
      </c>
      <c r="P29" s="910">
        <f>SUM(M28:O28)/SUM(M7:O7)</f>
        <v>8433.3258593749997</v>
      </c>
      <c r="Q29" s="496">
        <f>Q28/Q7</f>
        <v>8811.4906363636364</v>
      </c>
      <c r="R29" s="496">
        <f>R28/R7</f>
        <v>8807.9034761904768</v>
      </c>
      <c r="S29" s="496">
        <f>S28/S7</f>
        <v>9820.1078947368424</v>
      </c>
      <c r="T29" s="910">
        <f>SUM(Q28:S28)/SUM(Q7:S7)</f>
        <v>9119.3680161290322</v>
      </c>
      <c r="U29" s="933" t="s">
        <v>11</v>
      </c>
      <c r="V29" s="934">
        <f>U28/U7</f>
        <v>8843.8946175298788</v>
      </c>
      <c r="W29" s="233"/>
      <c r="X29" s="233"/>
    </row>
    <row r="30" spans="1:24" ht="30" customHeight="1" x14ac:dyDescent="0.25">
      <c r="A30" s="876"/>
      <c r="B30" s="331"/>
      <c r="C30" s="901" t="s">
        <v>22</v>
      </c>
      <c r="D30" s="889" t="s">
        <v>219</v>
      </c>
      <c r="E30" s="804">
        <f>E31/E28*1000</f>
        <v>3684.6255766991721</v>
      </c>
      <c r="F30" s="804">
        <f t="shared" ref="F30:G30" si="28">F31/F28*1000</f>
        <v>3535.7753001584115</v>
      </c>
      <c r="G30" s="804">
        <f t="shared" si="28"/>
        <v>3591.1904943107966</v>
      </c>
      <c r="H30" s="912">
        <f>SUM(E31:G31)/SUM(E28:G28)*1000</f>
        <v>3603.7198884961554</v>
      </c>
      <c r="I30" s="221">
        <f>I31/I28*1000</f>
        <v>3824.7716392203465</v>
      </c>
      <c r="J30" s="221">
        <f>J31/J28*1000</f>
        <v>3734.2347403238705</v>
      </c>
      <c r="K30" s="221">
        <f>K31/K28*1000</f>
        <v>3826.9494087595599</v>
      </c>
      <c r="L30" s="912">
        <f>SUM(I31:K31)/SUM(I28:K28)*1000</f>
        <v>3794.3261819957493</v>
      </c>
      <c r="M30" s="221">
        <f>M31/M28*1000</f>
        <v>3879.8815735464736</v>
      </c>
      <c r="N30" s="221">
        <f>N31/N28*1000</f>
        <v>3961.7190629227002</v>
      </c>
      <c r="O30" s="221">
        <f>O31/O28*1000</f>
        <v>3852.7075198088587</v>
      </c>
      <c r="P30" s="912">
        <f>SUM(M31:O31)/SUM(M28:O28)*1000</f>
        <v>3897.8645272848735</v>
      </c>
      <c r="Q30" s="532">
        <f>Q31/Q28*1000</f>
        <v>3896.173126620914</v>
      </c>
      <c r="R30" s="532">
        <f>R31/R28*1000</f>
        <v>3950.8359686886301</v>
      </c>
      <c r="S30" s="532">
        <f>S31/S28*1000</f>
        <v>4048.9536857333278</v>
      </c>
      <c r="T30" s="912">
        <f>SUM(Q31:S31)/SUM(Q28:S28)*1000</f>
        <v>3964.4731264232501</v>
      </c>
      <c r="U30" s="945" t="s">
        <v>11</v>
      </c>
      <c r="V30" s="946">
        <f>U31/U28*1000</f>
        <v>3814.8484654186514</v>
      </c>
      <c r="W30" s="233"/>
      <c r="X30" s="233"/>
    </row>
    <row r="31" spans="1:24" ht="30" customHeight="1" x14ac:dyDescent="0.25">
      <c r="A31" s="877"/>
      <c r="B31" s="535"/>
      <c r="C31" s="896" t="s">
        <v>26</v>
      </c>
      <c r="D31" s="886" t="s">
        <v>9</v>
      </c>
      <c r="E31" s="798">
        <f>E15</f>
        <v>663218.66855191998</v>
      </c>
      <c r="F31" s="798">
        <f t="shared" ref="F31:G31" si="29">F15</f>
        <v>626271.21231043001</v>
      </c>
      <c r="G31" s="798">
        <f t="shared" si="29"/>
        <v>724604.31716951984</v>
      </c>
      <c r="H31" s="909">
        <f>AVERAGE(E31:G31)</f>
        <v>671364.73267728998</v>
      </c>
      <c r="I31" s="524">
        <f>I15</f>
        <v>686331.98162357998</v>
      </c>
      <c r="J31" s="524">
        <f>J15</f>
        <v>714543.76746610017</v>
      </c>
      <c r="K31" s="524">
        <f>K15</f>
        <v>707975.72882154991</v>
      </c>
      <c r="L31" s="909">
        <f>AVERAGE(I31:K31)</f>
        <v>702950.49263707676</v>
      </c>
      <c r="M31" s="524">
        <f>M15</f>
        <v>700063.42869452003</v>
      </c>
      <c r="N31" s="524">
        <f t="shared" ref="N31:O31" si="30">N15</f>
        <v>707567.73512196005</v>
      </c>
      <c r="O31" s="524">
        <f t="shared" si="30"/>
        <v>696174.38589821011</v>
      </c>
      <c r="P31" s="909">
        <f>AVERAGE(M31:O31)</f>
        <v>701268.51657156332</v>
      </c>
      <c r="Q31" s="524">
        <f>Q15</f>
        <v>755284.04650317994</v>
      </c>
      <c r="R31" s="524">
        <f>R15</f>
        <v>730770.21911189007</v>
      </c>
      <c r="S31" s="524">
        <f>S15</f>
        <v>755462.07903918019</v>
      </c>
      <c r="T31" s="909">
        <f>AVERAGE(Q31:S31)</f>
        <v>747172.11488474999</v>
      </c>
      <c r="U31" s="932">
        <f>SUM(E31:G31,I31:K31,M31:O31,Q31:S31)</f>
        <v>8468267.5703120399</v>
      </c>
      <c r="V31" s="932">
        <f>AVERAGE(E31:G31,I31:K31,M31:O31,Q31:S31)</f>
        <v>705688.96419266996</v>
      </c>
      <c r="W31" s="233"/>
      <c r="X31" s="233"/>
    </row>
    <row r="32" spans="1:24" ht="33" customHeight="1" x14ac:dyDescent="0.25">
      <c r="A32" s="878"/>
      <c r="B32" s="947"/>
      <c r="C32" s="902" t="s">
        <v>20</v>
      </c>
      <c r="D32" s="890" t="s">
        <v>9</v>
      </c>
      <c r="E32" s="948">
        <f>E31/E7</f>
        <v>31581.841359615239</v>
      </c>
      <c r="F32" s="948">
        <f t="shared" ref="F32:G32" si="31">F31/F7</f>
        <v>31313.560615521499</v>
      </c>
      <c r="G32" s="948">
        <f t="shared" si="31"/>
        <v>31504.535529109558</v>
      </c>
      <c r="H32" s="914">
        <f>SUM(E31:G31)/SUM(E7:G7)</f>
        <v>31470.221844247968</v>
      </c>
      <c r="I32" s="949">
        <f>I31/I7</f>
        <v>36122.73587492526</v>
      </c>
      <c r="J32" s="949">
        <f>J31/J7</f>
        <v>34025.893688861914</v>
      </c>
      <c r="K32" s="949">
        <f>K31/K7</f>
        <v>33713.12994388333</v>
      </c>
      <c r="L32" s="914">
        <f>SUM(I31:K31)/SUM(I7:K7)</f>
        <v>34571.335703462792</v>
      </c>
      <c r="M32" s="949">
        <f>M31/M7</f>
        <v>33336.353747358095</v>
      </c>
      <c r="N32" s="949">
        <f>N31/N7</f>
        <v>32162.169778270913</v>
      </c>
      <c r="O32" s="949">
        <f>O31/O7</f>
        <v>33151.161233248102</v>
      </c>
      <c r="P32" s="914">
        <f>SUM(M31:O31)/SUM(M7:O7)</f>
        <v>32871.961714292032</v>
      </c>
      <c r="Q32" s="950">
        <f>Q31/Q7</f>
        <v>34331.093022871813</v>
      </c>
      <c r="R32" s="950">
        <f>R31/R7</f>
        <v>34798.581862470957</v>
      </c>
      <c r="S32" s="950">
        <f>S31/S7</f>
        <v>39761.162054693697</v>
      </c>
      <c r="T32" s="914">
        <f>SUM(Q31:S31)/SUM(Q7:S7)</f>
        <v>36153.489429907255</v>
      </c>
      <c r="U32" s="951" t="s">
        <v>11</v>
      </c>
      <c r="V32" s="952">
        <f>U31/U7</f>
        <v>33738.117810008131</v>
      </c>
      <c r="W32" s="233"/>
      <c r="X32" s="233"/>
    </row>
    <row r="33" spans="1:24" s="135" customFormat="1" ht="30" customHeight="1" x14ac:dyDescent="0.25">
      <c r="A33" s="957" t="s">
        <v>392</v>
      </c>
      <c r="B33" s="957"/>
      <c r="C33" s="957"/>
      <c r="D33" s="957"/>
      <c r="E33" s="957"/>
      <c r="F33" s="957"/>
      <c r="G33" s="327"/>
      <c r="H33" s="327"/>
      <c r="I33" s="327"/>
      <c r="J33" s="327"/>
      <c r="K33" s="327"/>
      <c r="L33" s="327"/>
      <c r="M33" s="916"/>
      <c r="N33" s="916"/>
      <c r="O33" s="916"/>
      <c r="P33" s="916"/>
      <c r="Q33" s="916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490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500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8">
    <mergeCell ref="B13:B14"/>
    <mergeCell ref="A33:F33"/>
    <mergeCell ref="A3:V3"/>
    <mergeCell ref="A4:V4"/>
    <mergeCell ref="B5:C6"/>
    <mergeCell ref="B7:C7"/>
    <mergeCell ref="B8:C8"/>
    <mergeCell ref="B11:B12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43" orientation="landscape" r:id="rId1"/>
  <headerFooter alignWithMargins="0"/>
  <ignoredErrors>
    <ignoredError sqref="P10:P32 T10:T26 H12:H32 L12:L32 H10:H11 V10:V27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2057"/>
  <sheetViews>
    <sheetView view="pageBreakPreview" topLeftCell="A9" zoomScale="60" zoomScaleNormal="60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0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6.699218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  <c r="K2" s="588"/>
    </row>
    <row r="3" spans="1:24" ht="19.5" customHeight="1" x14ac:dyDescent="0.4">
      <c r="A3" s="958" t="s">
        <v>42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</row>
    <row r="4" spans="1:24" s="134" customFormat="1" ht="24" customHeight="1" x14ac:dyDescent="0.25">
      <c r="A4" s="959" t="s">
        <v>285</v>
      </c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</row>
    <row r="5" spans="1:24" ht="42" customHeight="1" thickBot="1" x14ac:dyDescent="0.45">
      <c r="A5" s="662" t="s">
        <v>1</v>
      </c>
      <c r="B5" s="973" t="s">
        <v>2</v>
      </c>
      <c r="C5" s="974"/>
      <c r="D5" s="665" t="s">
        <v>3</v>
      </c>
      <c r="E5" s="666" t="s">
        <v>286</v>
      </c>
      <c r="F5" s="666" t="s">
        <v>287</v>
      </c>
      <c r="G5" s="666" t="s">
        <v>288</v>
      </c>
      <c r="H5" s="666" t="s">
        <v>289</v>
      </c>
      <c r="I5" s="666" t="s">
        <v>290</v>
      </c>
      <c r="J5" s="666" t="s">
        <v>291</v>
      </c>
      <c r="K5" s="666" t="s">
        <v>292</v>
      </c>
      <c r="L5" s="666" t="s">
        <v>293</v>
      </c>
      <c r="M5" s="666" t="s">
        <v>294</v>
      </c>
      <c r="N5" s="666" t="s">
        <v>295</v>
      </c>
      <c r="O5" s="666" t="s">
        <v>296</v>
      </c>
      <c r="P5" s="666" t="s">
        <v>297</v>
      </c>
      <c r="Q5" s="666" t="s">
        <v>298</v>
      </c>
      <c r="R5" s="666" t="s">
        <v>299</v>
      </c>
      <c r="S5" s="666" t="s">
        <v>300</v>
      </c>
      <c r="T5" s="666" t="s">
        <v>301</v>
      </c>
      <c r="U5" s="667" t="s">
        <v>46</v>
      </c>
      <c r="V5" s="668" t="s">
        <v>58</v>
      </c>
      <c r="W5" s="233"/>
      <c r="X5" s="233"/>
    </row>
    <row r="6" spans="1:24" ht="44.25" customHeight="1" thickTop="1" x14ac:dyDescent="0.35">
      <c r="A6" s="663"/>
      <c r="B6" s="975"/>
      <c r="C6" s="976"/>
      <c r="D6" s="590" t="s">
        <v>4</v>
      </c>
      <c r="E6" s="583"/>
      <c r="F6" s="583"/>
      <c r="G6" s="583"/>
      <c r="H6" s="584" t="s">
        <v>45</v>
      </c>
      <c r="I6" s="585"/>
      <c r="J6" s="585"/>
      <c r="K6" s="585"/>
      <c r="L6" s="584" t="s">
        <v>45</v>
      </c>
      <c r="M6" s="585"/>
      <c r="N6" s="585"/>
      <c r="O6" s="585"/>
      <c r="P6" s="584" t="s">
        <v>45</v>
      </c>
      <c r="Q6" s="585"/>
      <c r="R6" s="585"/>
      <c r="S6" s="585"/>
      <c r="T6" s="584" t="s">
        <v>45</v>
      </c>
      <c r="U6" s="586" t="s">
        <v>53</v>
      </c>
      <c r="V6" s="587" t="s">
        <v>53</v>
      </c>
      <c r="W6" s="233"/>
      <c r="X6" s="233"/>
    </row>
    <row r="7" spans="1:24" ht="30" customHeight="1" x14ac:dyDescent="0.25">
      <c r="A7" s="671" t="s">
        <v>5</v>
      </c>
      <c r="B7" s="977" t="s">
        <v>6</v>
      </c>
      <c r="C7" s="977"/>
      <c r="D7" s="672"/>
      <c r="E7" s="704">
        <v>21</v>
      </c>
      <c r="F7" s="704">
        <v>20</v>
      </c>
      <c r="G7" s="326">
        <v>21</v>
      </c>
      <c r="H7" s="536">
        <f t="shared" ref="H7:H15" si="0">AVERAGE(E7:G7)</f>
        <v>20.666666666666668</v>
      </c>
      <c r="I7" s="326">
        <v>21</v>
      </c>
      <c r="J7" s="326">
        <v>21</v>
      </c>
      <c r="K7" s="326">
        <v>20</v>
      </c>
      <c r="L7" s="548">
        <f>AVERAGE(I7:K7)</f>
        <v>20.666666666666668</v>
      </c>
      <c r="M7" s="326">
        <v>23</v>
      </c>
      <c r="N7" s="326">
        <v>20</v>
      </c>
      <c r="O7" s="326">
        <v>22</v>
      </c>
      <c r="P7" s="536">
        <f>AVERAGE(M7:O7)</f>
        <v>21.666666666666668</v>
      </c>
      <c r="Q7" s="502">
        <v>23</v>
      </c>
      <c r="R7" s="502">
        <v>19</v>
      </c>
      <c r="S7" s="502">
        <v>21</v>
      </c>
      <c r="T7" s="536">
        <f>AVERAGE(Q7:S7)</f>
        <v>21</v>
      </c>
      <c r="U7" s="553">
        <f>SUM(E7:G7,I7:K7,M7:O7,Q7:S7)</f>
        <v>252</v>
      </c>
      <c r="V7" s="554">
        <f>AVERAGE(E7:G7,I7:K7,M7:O7,Q7:S7)</f>
        <v>21</v>
      </c>
      <c r="W7" s="233"/>
      <c r="X7" s="233"/>
    </row>
    <row r="8" spans="1:24" ht="30" customHeight="1" x14ac:dyDescent="0.25">
      <c r="A8" s="673" t="s">
        <v>7</v>
      </c>
      <c r="B8" s="978" t="s">
        <v>40</v>
      </c>
      <c r="C8" s="978"/>
      <c r="D8" s="674"/>
      <c r="E8" s="690">
        <v>46</v>
      </c>
      <c r="F8" s="690">
        <v>45</v>
      </c>
      <c r="G8" s="504">
        <v>45</v>
      </c>
      <c r="H8" s="537">
        <f t="shared" si="0"/>
        <v>45.333333333333336</v>
      </c>
      <c r="I8" s="504">
        <v>45</v>
      </c>
      <c r="J8" s="504">
        <v>45</v>
      </c>
      <c r="K8" s="504">
        <v>45</v>
      </c>
      <c r="L8" s="549">
        <f>AVERAGE(I8:K8)</f>
        <v>45</v>
      </c>
      <c r="M8" s="504">
        <v>44</v>
      </c>
      <c r="N8" s="504">
        <v>44</v>
      </c>
      <c r="O8" s="504">
        <v>44</v>
      </c>
      <c r="P8" s="537">
        <f>AVERAGE(M8:O8)</f>
        <v>44</v>
      </c>
      <c r="Q8" s="505">
        <v>44</v>
      </c>
      <c r="R8" s="505">
        <v>44</v>
      </c>
      <c r="S8" s="505">
        <v>44</v>
      </c>
      <c r="T8" s="537">
        <f>AVERAGE(Q8:S8)</f>
        <v>44</v>
      </c>
      <c r="U8" s="555" t="s">
        <v>11</v>
      </c>
      <c r="V8" s="556">
        <f>AVERAGE(E8:G8,I8:K8,M8:O8,Q8:S8)</f>
        <v>44.583333333333336</v>
      </c>
      <c r="W8" s="233"/>
      <c r="X8" s="233"/>
    </row>
    <row r="9" spans="1:24" ht="39" customHeight="1" x14ac:dyDescent="0.35">
      <c r="A9" s="671" t="s">
        <v>12</v>
      </c>
      <c r="B9" s="675" t="s">
        <v>27</v>
      </c>
      <c r="C9" s="676" t="s">
        <v>181</v>
      </c>
      <c r="D9" s="677" t="s">
        <v>9</v>
      </c>
      <c r="E9" s="777">
        <v>136061.42000000001</v>
      </c>
      <c r="F9" s="777">
        <v>126026.67200000001</v>
      </c>
      <c r="G9" s="444">
        <v>136004.24</v>
      </c>
      <c r="H9" s="538">
        <f t="shared" si="0"/>
        <v>132697.44399999999</v>
      </c>
      <c r="I9" s="444">
        <v>143027.57699999999</v>
      </c>
      <c r="J9" s="444">
        <v>135806.61799999999</v>
      </c>
      <c r="K9" s="444">
        <v>135449.495</v>
      </c>
      <c r="L9" s="493">
        <f>AVERAGE(I9:K9)</f>
        <v>138094.56333333332</v>
      </c>
      <c r="M9" s="598">
        <v>151662.552</v>
      </c>
      <c r="N9" s="601">
        <v>136534.356</v>
      </c>
      <c r="O9" s="602">
        <v>143954.84299999999</v>
      </c>
      <c r="P9" s="538">
        <f>AVERAGE(M9:O9)</f>
        <v>144050.58366666667</v>
      </c>
      <c r="Q9" s="508">
        <v>154539.33600000001</v>
      </c>
      <c r="R9" s="508">
        <v>139478.054</v>
      </c>
      <c r="S9" s="508">
        <v>169722.11300000001</v>
      </c>
      <c r="T9" s="538">
        <f>AVERAGE(Q9:S9)</f>
        <v>154579.83433333333</v>
      </c>
      <c r="U9" s="557">
        <f>SUM(E9:G9,I9:K9,M9:O9,Q9:S9)</f>
        <v>1708267.2760000001</v>
      </c>
      <c r="V9" s="558">
        <f>AVERAGE(E9:G9,I9:K9,M9:O9,Q9:S9)</f>
        <v>142355.60633333333</v>
      </c>
      <c r="W9" s="317"/>
      <c r="X9" s="233"/>
    </row>
    <row r="10" spans="1:24" ht="30" customHeight="1" x14ac:dyDescent="0.35">
      <c r="A10" s="671"/>
      <c r="B10" s="678" t="s">
        <v>28</v>
      </c>
      <c r="C10" s="679" t="s">
        <v>10</v>
      </c>
      <c r="D10" s="680"/>
      <c r="E10" s="778">
        <f>E9/E15</f>
        <v>0.41336701093952255</v>
      </c>
      <c r="F10" s="778">
        <f>F9/F15</f>
        <v>0.42183933602214618</v>
      </c>
      <c r="G10" s="512">
        <f>G9/G15</f>
        <v>0.415335609706661</v>
      </c>
      <c r="H10" s="539">
        <f t="shared" si="0"/>
        <v>0.41684731888944326</v>
      </c>
      <c r="I10" s="513">
        <f>I9/I15</f>
        <v>0.41785755970551069</v>
      </c>
      <c r="J10" s="513">
        <f>J9/J15</f>
        <v>0.42648203670458434</v>
      </c>
      <c r="K10" s="513">
        <f>K9/K15</f>
        <v>0.41932993377723193</v>
      </c>
      <c r="L10" s="492">
        <f>SUM(I9:K9)/SUM(I15:K15)</f>
        <v>0.42113275476231504</v>
      </c>
      <c r="M10" s="513">
        <f>M9/M15</f>
        <v>0.42977208093100638</v>
      </c>
      <c r="N10" s="513">
        <f>N9/N15</f>
        <v>0.42925948031272837</v>
      </c>
      <c r="O10" s="513">
        <f>O9/O15</f>
        <v>0.42340266541526045</v>
      </c>
      <c r="P10" s="539">
        <f>SUM(M9:O9)/SUM(M15:O15)</f>
        <v>0.42746870227107236</v>
      </c>
      <c r="Q10" s="513">
        <f>Q9/Q15</f>
        <v>0.42594603278061577</v>
      </c>
      <c r="R10" s="513">
        <f>R9/R15</f>
        <v>0.43110116218279509</v>
      </c>
      <c r="S10" s="513">
        <f>S9/S15</f>
        <v>0.43806676214365858</v>
      </c>
      <c r="T10" s="539">
        <f>SUM(Q9:S9)/SUM(Q15:S15)</f>
        <v>0.43187259747328127</v>
      </c>
      <c r="U10" s="559" t="s">
        <v>11</v>
      </c>
      <c r="V10" s="560">
        <f>U9/U15</f>
        <v>0.42453604902015013</v>
      </c>
      <c r="W10" s="448"/>
      <c r="X10" s="402"/>
    </row>
    <row r="11" spans="1:24" ht="42.75" customHeight="1" x14ac:dyDescent="0.35">
      <c r="A11" s="673"/>
      <c r="B11" s="979" t="s">
        <v>29</v>
      </c>
      <c r="C11" s="681" t="s">
        <v>181</v>
      </c>
      <c r="D11" s="682" t="s">
        <v>9</v>
      </c>
      <c r="E11" s="779">
        <v>120130.72199999999</v>
      </c>
      <c r="F11" s="779">
        <v>108691.732</v>
      </c>
      <c r="G11" s="495">
        <v>120449.35</v>
      </c>
      <c r="H11" s="540">
        <f t="shared" si="0"/>
        <v>116423.93466666667</v>
      </c>
      <c r="I11" s="495">
        <v>128084.967</v>
      </c>
      <c r="J11" s="495">
        <v>115284.444</v>
      </c>
      <c r="K11" s="495">
        <v>119812.88400000001</v>
      </c>
      <c r="L11" s="494">
        <f>AVERAGE(I11:K11)</f>
        <v>121060.76500000001</v>
      </c>
      <c r="M11" s="599">
        <v>127530.243</v>
      </c>
      <c r="N11" s="516">
        <v>115538.038</v>
      </c>
      <c r="O11" s="516">
        <v>124374.526</v>
      </c>
      <c r="P11" s="540">
        <f>AVERAGE(M11:O11)</f>
        <v>122480.93566666667</v>
      </c>
      <c r="Q11" s="495">
        <v>131369.50700000001</v>
      </c>
      <c r="R11" s="495">
        <v>115650.18399999999</v>
      </c>
      <c r="S11" s="495">
        <v>135561.09</v>
      </c>
      <c r="T11" s="540">
        <f>AVERAGE(Q11:S11)</f>
        <v>127526.92699999998</v>
      </c>
      <c r="U11" s="561">
        <f>SUM(E11:G11,I11:K11,M11:O11,Q11:S11)</f>
        <v>1462477.6869999999</v>
      </c>
      <c r="V11" s="562">
        <f>AVERAGE(E11:G11,I11:K11,M11:O11,Q11:S11)</f>
        <v>121873.14058333333</v>
      </c>
      <c r="W11" s="402"/>
      <c r="X11" s="233"/>
    </row>
    <row r="12" spans="1:24" ht="30" customHeight="1" x14ac:dyDescent="0.25">
      <c r="A12" s="673"/>
      <c r="B12" s="979"/>
      <c r="C12" s="683" t="s">
        <v>10</v>
      </c>
      <c r="D12" s="684"/>
      <c r="E12" s="780">
        <f>E11/E15</f>
        <v>0.36496809657834484</v>
      </c>
      <c r="F12" s="780">
        <f>F11/F15</f>
        <v>0.3638154315300578</v>
      </c>
      <c r="G12" s="519">
        <f>G11/G15</f>
        <v>0.36783341623041321</v>
      </c>
      <c r="H12" s="541">
        <f t="shared" si="0"/>
        <v>0.36553898144627195</v>
      </c>
      <c r="I12" s="519">
        <f>I11/I15</f>
        <v>0.374202464085516</v>
      </c>
      <c r="J12" s="519">
        <f>J11/J15</f>
        <v>0.36203496708441413</v>
      </c>
      <c r="K12" s="519">
        <f>K11/K15</f>
        <v>0.37092149153733778</v>
      </c>
      <c r="L12" s="491">
        <f>SUM(I11:K11)/SUM(I15:K15)</f>
        <v>0.36918653585964195</v>
      </c>
      <c r="M12" s="597">
        <f>M11/M15</f>
        <v>0.36138741695278154</v>
      </c>
      <c r="N12" s="519">
        <f t="shared" ref="N12:O12" si="1">N11/N15</f>
        <v>0.36324775390768504</v>
      </c>
      <c r="O12" s="519">
        <f t="shared" si="1"/>
        <v>0.36581267236809539</v>
      </c>
      <c r="P12" s="541">
        <f>SUM(M11:O11)/SUM(M15:O15)</f>
        <v>0.36346098217505574</v>
      </c>
      <c r="Q12" s="519">
        <f>Q11/Q15</f>
        <v>0.36208464319398481</v>
      </c>
      <c r="R12" s="519">
        <f>R11/R15</f>
        <v>0.35745357279686513</v>
      </c>
      <c r="S12" s="519">
        <f>S11/S15</f>
        <v>0.34989434623032939</v>
      </c>
      <c r="T12" s="541">
        <f>SUM(Q11:S11)/SUM(Q15:S15)</f>
        <v>0.35629088004138942</v>
      </c>
      <c r="U12" s="563" t="s">
        <v>11</v>
      </c>
      <c r="V12" s="564">
        <f>U11/U15</f>
        <v>0.36345278501905093</v>
      </c>
      <c r="W12" s="402"/>
      <c r="X12" s="233"/>
    </row>
    <row r="13" spans="1:24" ht="46.5" customHeight="1" x14ac:dyDescent="0.35">
      <c r="A13" s="671"/>
      <c r="B13" s="969" t="s">
        <v>30</v>
      </c>
      <c r="C13" s="676" t="s">
        <v>181</v>
      </c>
      <c r="D13" s="677" t="s">
        <v>9</v>
      </c>
      <c r="E13" s="777">
        <v>71754.732000000004</v>
      </c>
      <c r="F13" s="777">
        <v>62864.252999999997</v>
      </c>
      <c r="G13" s="444">
        <v>69637.365999999995</v>
      </c>
      <c r="H13" s="538">
        <f t="shared" si="0"/>
        <v>68085.450333333327</v>
      </c>
      <c r="I13" s="444">
        <v>69839.843999999997</v>
      </c>
      <c r="J13" s="444">
        <v>66028.084000000003</v>
      </c>
      <c r="K13" s="444">
        <v>66357.56</v>
      </c>
      <c r="L13" s="493">
        <f>AVERAGE(I13:K13)</f>
        <v>67408.495999999999</v>
      </c>
      <c r="M13" s="598">
        <v>72323.001999999993</v>
      </c>
      <c r="N13" s="200">
        <v>64733.285000000003</v>
      </c>
      <c r="O13" s="200">
        <v>70247.547999999995</v>
      </c>
      <c r="P13" s="538">
        <f>AVERAGE(M13:O13)</f>
        <v>69101.278333333335</v>
      </c>
      <c r="Q13" s="508">
        <v>75463.512000000002</v>
      </c>
      <c r="R13" s="508">
        <v>67121.887000000002</v>
      </c>
      <c r="S13" s="508">
        <v>80648.082999999999</v>
      </c>
      <c r="T13" s="538">
        <f>AVERAGE(Q13:S13)</f>
        <v>74411.160666666678</v>
      </c>
      <c r="U13" s="557">
        <f>SUM(E13:G13,I13:K13,M13:O13,Q13:S13)</f>
        <v>837019.15599999984</v>
      </c>
      <c r="V13" s="558">
        <f>AVERAGE(E13:G13,I13:K13,M13:O13,Q13:S13)</f>
        <v>69751.59633333332</v>
      </c>
      <c r="W13" s="402"/>
      <c r="X13" s="233"/>
    </row>
    <row r="14" spans="1:24" ht="30" customHeight="1" x14ac:dyDescent="0.25">
      <c r="A14" s="671"/>
      <c r="B14" s="969"/>
      <c r="C14" s="685" t="s">
        <v>10</v>
      </c>
      <c r="D14" s="686"/>
      <c r="E14" s="781">
        <f>E13/E15</f>
        <v>0.2179974241604013</v>
      </c>
      <c r="F14" s="781">
        <f>F13/F15</f>
        <v>0.21042065401082882</v>
      </c>
      <c r="G14" s="521">
        <f>G13/G15</f>
        <v>0.21266158956497166</v>
      </c>
      <c r="H14" s="539">
        <f t="shared" si="0"/>
        <v>0.21369322257873394</v>
      </c>
      <c r="I14" s="521">
        <f>I13/I15</f>
        <v>0.20403832181295747</v>
      </c>
      <c r="J14" s="521">
        <f>J13/J15</f>
        <v>0.20735213172027731</v>
      </c>
      <c r="K14" s="521">
        <f>K13/K15</f>
        <v>0.20543237344974002</v>
      </c>
      <c r="L14" s="492">
        <f>SUM(I13:K13)/SUM(I15:K15)</f>
        <v>0.20556874166249098</v>
      </c>
      <c r="M14" s="521">
        <f>M13/M15</f>
        <v>0.2049445077827606</v>
      </c>
      <c r="N14" s="521">
        <f t="shared" ref="N14:O14" si="2">N13/N15</f>
        <v>0.20351929794165313</v>
      </c>
      <c r="O14" s="521">
        <f t="shared" si="2"/>
        <v>0.20661339655023933</v>
      </c>
      <c r="P14" s="539">
        <f>SUM(M13:O13)/SUM(M15:O15)</f>
        <v>0.20505736958882881</v>
      </c>
      <c r="Q14" s="513">
        <f>Q13/Q15</f>
        <v>0.20799483411843048</v>
      </c>
      <c r="R14" s="513">
        <f>R13/R15</f>
        <v>0.20746147987985439</v>
      </c>
      <c r="S14" s="513">
        <f>S13/S15</f>
        <v>0.20815934923519971</v>
      </c>
      <c r="T14" s="539">
        <f>SUM(Q13:S13)/SUM(Q15:S15)</f>
        <v>0.20789348996724349</v>
      </c>
      <c r="U14" s="565" t="s">
        <v>11</v>
      </c>
      <c r="V14" s="566">
        <f>U13/U15</f>
        <v>0.20801475883474141</v>
      </c>
      <c r="W14" s="233"/>
      <c r="X14" s="233"/>
    </row>
    <row r="15" spans="1:24" ht="30" customHeight="1" x14ac:dyDescent="0.25">
      <c r="A15" s="673" t="s">
        <v>17</v>
      </c>
      <c r="B15" s="687" t="s">
        <v>13</v>
      </c>
      <c r="C15" s="687" t="s">
        <v>8</v>
      </c>
      <c r="D15" s="688" t="s">
        <v>9</v>
      </c>
      <c r="E15" s="782">
        <f>E17+E19</f>
        <v>329154.03600000002</v>
      </c>
      <c r="F15" s="782">
        <f>F17+F19</f>
        <v>298755.14500000002</v>
      </c>
      <c r="G15" s="524">
        <f>G17+G19</f>
        <v>327456.24700000003</v>
      </c>
      <c r="H15" s="542">
        <f t="shared" si="0"/>
        <v>318455.14266666671</v>
      </c>
      <c r="I15" s="524">
        <f>I17+I19</f>
        <v>342287.87699999998</v>
      </c>
      <c r="J15" s="524">
        <f>J17+J19</f>
        <v>318434.55599999992</v>
      </c>
      <c r="K15" s="524">
        <f>K17+K19</f>
        <v>323014.13300000003</v>
      </c>
      <c r="L15" s="550">
        <f>AVERAGE(I15:K15)</f>
        <v>327912.18866666668</v>
      </c>
      <c r="M15" s="524">
        <f>M17+M19</f>
        <v>352890.65699999995</v>
      </c>
      <c r="N15" s="524">
        <f t="shared" ref="N15:O15" si="3">N17+N19</f>
        <v>318069.51799999998</v>
      </c>
      <c r="O15" s="524">
        <f t="shared" si="3"/>
        <v>339995.12700000004</v>
      </c>
      <c r="P15" s="542">
        <f>AVERAGE(M15:O15)</f>
        <v>336985.10066666664</v>
      </c>
      <c r="Q15" s="524">
        <f>Q17+Q19</f>
        <v>362814.35699999996</v>
      </c>
      <c r="R15" s="524">
        <f>R17+R19</f>
        <v>323539.03499999997</v>
      </c>
      <c r="S15" s="524">
        <f>S17+S19</f>
        <v>387434.35399999999</v>
      </c>
      <c r="T15" s="542">
        <f>AVERAGE(Q15:S15)</f>
        <v>357929.24866666668</v>
      </c>
      <c r="U15" s="567">
        <f>SUM(E15:G15,I15:K15,M15:O15,Q15:S15)</f>
        <v>4023845.0419999999</v>
      </c>
      <c r="V15" s="567">
        <f>AVERAGE(E15:G15,I15:K15,M15:O15,Q15:S15)</f>
        <v>335320.42016666668</v>
      </c>
      <c r="W15" s="317"/>
      <c r="X15" s="233"/>
    </row>
    <row r="16" spans="1:24" ht="30" customHeight="1" x14ac:dyDescent="0.25">
      <c r="A16" s="673"/>
      <c r="B16" s="689" t="s">
        <v>14</v>
      </c>
      <c r="C16" s="689" t="s">
        <v>15</v>
      </c>
      <c r="D16" s="690" t="s">
        <v>9</v>
      </c>
      <c r="E16" s="783">
        <f>E15/E7</f>
        <v>15674.001714285716</v>
      </c>
      <c r="F16" s="783">
        <f>F15/F7</f>
        <v>14937.757250000001</v>
      </c>
      <c r="G16" s="496">
        <f>G15/G7</f>
        <v>15593.15461904762</v>
      </c>
      <c r="H16" s="543">
        <f>SUM(E15:G15)/SUM(E7:G7)</f>
        <v>15409.119806451614</v>
      </c>
      <c r="I16" s="496">
        <f>I15/I7</f>
        <v>16299.422714285713</v>
      </c>
      <c r="J16" s="496">
        <f>J15/J7</f>
        <v>15163.550285714282</v>
      </c>
      <c r="K16" s="496">
        <f>K15/K7</f>
        <v>16150.706650000002</v>
      </c>
      <c r="L16" s="497">
        <f>SUM(I15:K15)/SUM(I7:K7)</f>
        <v>15866.718806451612</v>
      </c>
      <c r="M16" s="496">
        <f>M15/M7</f>
        <v>15343.072043478258</v>
      </c>
      <c r="N16" s="496">
        <f t="shared" ref="N16:O16" si="4">N15/N7</f>
        <v>15903.475899999999</v>
      </c>
      <c r="O16" s="496">
        <f t="shared" si="4"/>
        <v>15454.323954545456</v>
      </c>
      <c r="P16" s="543">
        <f>SUM(M15:O15)/SUM(M7:O7)</f>
        <v>15553.158492307692</v>
      </c>
      <c r="Q16" s="496">
        <f>Q15/Q7</f>
        <v>15774.537260869563</v>
      </c>
      <c r="R16" s="496">
        <f>R15/R7</f>
        <v>17028.370263157893</v>
      </c>
      <c r="S16" s="496">
        <f>S15/S7</f>
        <v>18449.25495238095</v>
      </c>
      <c r="T16" s="543">
        <f>SUM(Q15:S15)/SUM(Q7:S7)</f>
        <v>17044.249936507938</v>
      </c>
      <c r="U16" s="568" t="s">
        <v>11</v>
      </c>
      <c r="V16" s="569">
        <f>U15/U7</f>
        <v>15967.639055555555</v>
      </c>
      <c r="W16" s="233"/>
      <c r="X16" s="233"/>
    </row>
    <row r="17" spans="1:24" s="27" customFormat="1" ht="40.5" customHeight="1" x14ac:dyDescent="0.35">
      <c r="A17" s="691"/>
      <c r="B17" s="692" t="s">
        <v>36</v>
      </c>
      <c r="C17" s="676" t="s">
        <v>8</v>
      </c>
      <c r="D17" s="677" t="s">
        <v>9</v>
      </c>
      <c r="E17" s="784">
        <f>E9+E11+E13</f>
        <v>327946.87400000001</v>
      </c>
      <c r="F17" s="784">
        <f>F9+F11+F13</f>
        <v>297582.65700000001</v>
      </c>
      <c r="G17" s="200">
        <f>G9+G11+G13</f>
        <v>326090.95600000001</v>
      </c>
      <c r="H17" s="538">
        <f>AVERAGE(E17:G17)</f>
        <v>317206.82899999997</v>
      </c>
      <c r="I17" s="200">
        <f>I9+I11+I13</f>
        <v>340952.38799999998</v>
      </c>
      <c r="J17" s="200">
        <f>J9+J11+J13</f>
        <v>317119.14599999995</v>
      </c>
      <c r="K17" s="200">
        <f>K9+K11+K13</f>
        <v>321619.93900000001</v>
      </c>
      <c r="L17" s="493">
        <f>AVERAGE(I17:K17)</f>
        <v>326563.82433333335</v>
      </c>
      <c r="M17" s="200">
        <f>M9+M11+M13</f>
        <v>351515.79699999996</v>
      </c>
      <c r="N17" s="200">
        <f t="shared" ref="N17:O17" si="5">N9+N11+N13</f>
        <v>316805.679</v>
      </c>
      <c r="O17" s="200">
        <f t="shared" si="5"/>
        <v>338576.91700000002</v>
      </c>
      <c r="P17" s="538">
        <f>AVERAGE(M17:O17)</f>
        <v>335632.79766666668</v>
      </c>
      <c r="Q17" s="200">
        <f>Q9+Q11+Q13</f>
        <v>361372.35499999998</v>
      </c>
      <c r="R17" s="200">
        <f t="shared" ref="R17:S17" si="6">R9+R11+R13</f>
        <v>322250.125</v>
      </c>
      <c r="S17" s="200">
        <f t="shared" si="6"/>
        <v>385931.28599999996</v>
      </c>
      <c r="T17" s="538">
        <f>AVERAGE(Q17:S17)</f>
        <v>356517.92199999996</v>
      </c>
      <c r="U17" s="558">
        <f>SUM(E17:G17,I17:K17,M17:O17,Q17:S17)</f>
        <v>4007764.1189999995</v>
      </c>
      <c r="V17" s="558">
        <f>AVERAGE(E17:G17,I17:K17,M17:O17,Q18,Q18,Q17,Q17:S17)</f>
        <v>291275.89773673465</v>
      </c>
      <c r="W17" s="234"/>
      <c r="X17" s="234"/>
    </row>
    <row r="18" spans="1:24" s="25" customFormat="1" ht="30" customHeight="1" x14ac:dyDescent="0.25">
      <c r="A18" s="693"/>
      <c r="B18" s="694" t="s">
        <v>32</v>
      </c>
      <c r="C18" s="695" t="s">
        <v>10</v>
      </c>
      <c r="D18" s="686"/>
      <c r="E18" s="781">
        <f>E17/E15</f>
        <v>0.99633253167826863</v>
      </c>
      <c r="F18" s="781">
        <f>F17/F15</f>
        <v>0.99607542156303275</v>
      </c>
      <c r="G18" s="521">
        <f>G17/G15</f>
        <v>0.99583061550204588</v>
      </c>
      <c r="H18" s="539">
        <f>AVERAGE(E18:G18)</f>
        <v>0.99607952291444912</v>
      </c>
      <c r="I18" s="521">
        <f>I17/I15</f>
        <v>0.99609834560398414</v>
      </c>
      <c r="J18" s="521">
        <f>J17/J15</f>
        <v>0.99586913550927569</v>
      </c>
      <c r="K18" s="521">
        <f>K17/K15</f>
        <v>0.99568379876430979</v>
      </c>
      <c r="L18" s="492">
        <f>SUM(I17:K17)/SUM(I15:K15)</f>
        <v>0.995888032284448</v>
      </c>
      <c r="M18" s="521">
        <f>M17/M15</f>
        <v>0.99610400566654844</v>
      </c>
      <c r="N18" s="521">
        <f t="shared" ref="N18:O18" si="7">N17/N15</f>
        <v>0.9960265321620666</v>
      </c>
      <c r="O18" s="521">
        <f t="shared" si="7"/>
        <v>0.9958287343335952</v>
      </c>
      <c r="P18" s="539">
        <f>SUM(M17:O17)/SUM(M15:O15)</f>
        <v>0.99598705403495691</v>
      </c>
      <c r="Q18" s="513">
        <f>Q17/Q15</f>
        <v>0.99602551009303086</v>
      </c>
      <c r="R18" s="513">
        <f>R17/R15</f>
        <v>0.99601621485951464</v>
      </c>
      <c r="S18" s="513">
        <f>S17/S15</f>
        <v>0.99612045760918755</v>
      </c>
      <c r="T18" s="539">
        <f>SUM(Q17:S17)/SUM(Q15:S15)</f>
        <v>0.99605696748191408</v>
      </c>
      <c r="U18" s="565" t="s">
        <v>11</v>
      </c>
      <c r="V18" s="566">
        <f>U17/U15</f>
        <v>0.99600359287394236</v>
      </c>
      <c r="W18" s="235"/>
      <c r="X18" s="235"/>
    </row>
    <row r="19" spans="1:24" s="27" customFormat="1" ht="40.5" customHeight="1" x14ac:dyDescent="0.35">
      <c r="A19" s="696"/>
      <c r="B19" s="697" t="s">
        <v>36</v>
      </c>
      <c r="C19" s="681" t="s">
        <v>8</v>
      </c>
      <c r="D19" s="682" t="s">
        <v>9</v>
      </c>
      <c r="E19" s="779">
        <v>1207.162</v>
      </c>
      <c r="F19" s="779">
        <v>1172.4880000000001</v>
      </c>
      <c r="G19" s="495">
        <v>1365.2909999999999</v>
      </c>
      <c r="H19" s="540">
        <f>AVERAGE(E19:G19)</f>
        <v>1248.3136666666667</v>
      </c>
      <c r="I19" s="495">
        <v>1335.489</v>
      </c>
      <c r="J19" s="495">
        <v>1315.41</v>
      </c>
      <c r="K19" s="495">
        <v>1394.194</v>
      </c>
      <c r="L19" s="494">
        <f>AVERAGE(I19:K19)</f>
        <v>1348.3643333333334</v>
      </c>
      <c r="M19" s="600">
        <v>1374.86</v>
      </c>
      <c r="N19" s="516">
        <v>1263.8389999999999</v>
      </c>
      <c r="O19" s="516">
        <v>1418.21</v>
      </c>
      <c r="P19" s="540">
        <f>AVERAGE(M19:O19)</f>
        <v>1352.3029999999999</v>
      </c>
      <c r="Q19" s="495">
        <v>1442.002</v>
      </c>
      <c r="R19" s="495">
        <v>1288.9100000000001</v>
      </c>
      <c r="S19" s="495">
        <v>1503.068</v>
      </c>
      <c r="T19" s="540">
        <f>AVERAGE(Q19:S19)</f>
        <v>1411.3266666666668</v>
      </c>
      <c r="U19" s="562">
        <f>SUM(E19:G19,I19:K19,M19:O19,Q19:S19)</f>
        <v>16080.922999999999</v>
      </c>
      <c r="V19" s="562">
        <f>AVERAGE(E19:G19,I19:K19,M19:O19,Q19:S19)</f>
        <v>1340.0769166666666</v>
      </c>
      <c r="W19" s="234"/>
      <c r="X19" s="234"/>
    </row>
    <row r="20" spans="1:24" s="25" customFormat="1" ht="30" customHeight="1" x14ac:dyDescent="0.25">
      <c r="A20" s="698"/>
      <c r="B20" s="699" t="s">
        <v>31</v>
      </c>
      <c r="C20" s="700" t="s">
        <v>10</v>
      </c>
      <c r="D20" s="684"/>
      <c r="E20" s="780">
        <f>E19/E15</f>
        <v>3.667468321731288E-3</v>
      </c>
      <c r="F20" s="780">
        <f>F19/F15</f>
        <v>3.9245784369671688E-3</v>
      </c>
      <c r="G20" s="519">
        <f>G19/G15</f>
        <v>4.1693844979540113E-3</v>
      </c>
      <c r="H20" s="541">
        <f>AVERAGE(E20:G20)</f>
        <v>3.9204770855508228E-3</v>
      </c>
      <c r="I20" s="519">
        <f>I19/I15</f>
        <v>3.9016543960159011E-3</v>
      </c>
      <c r="J20" s="519">
        <f>J19/J15</f>
        <v>4.1308644907244313E-3</v>
      </c>
      <c r="K20" s="519">
        <f>K19/K15</f>
        <v>4.3162012356902039E-3</v>
      </c>
      <c r="L20" s="491">
        <f>SUM(I19:K19)/SUM(I15:K15)</f>
        <v>4.1119677155520111E-3</v>
      </c>
      <c r="M20" s="519">
        <f>M19/M15</f>
        <v>3.8959943334515657E-3</v>
      </c>
      <c r="N20" s="519">
        <f t="shared" ref="N20:O20" si="8">N19/N15</f>
        <v>3.973467837933467E-3</v>
      </c>
      <c r="O20" s="519">
        <f t="shared" si="8"/>
        <v>4.1712656664046836E-3</v>
      </c>
      <c r="P20" s="541">
        <f>SUM(M19:O19)/SUM(M15:O15)</f>
        <v>4.0129459650432697E-3</v>
      </c>
      <c r="Q20" s="519">
        <f>Q19/Q15</f>
        <v>3.9744899069691451E-3</v>
      </c>
      <c r="R20" s="519">
        <f>R19/R15</f>
        <v>3.9837851404854446E-3</v>
      </c>
      <c r="S20" s="519">
        <f>S19/S15</f>
        <v>3.8795423908123544E-3</v>
      </c>
      <c r="T20" s="541">
        <f>SUM(Q19:S19)/SUM(Q15:S15)</f>
        <v>3.9430325180857487E-3</v>
      </c>
      <c r="U20" s="570" t="s">
        <v>11</v>
      </c>
      <c r="V20" s="564">
        <f>U19/U15</f>
        <v>3.9964071260575147E-3</v>
      </c>
      <c r="W20" s="235"/>
      <c r="X20" s="235"/>
    </row>
    <row r="21" spans="1:24" ht="30" customHeight="1" x14ac:dyDescent="0.25">
      <c r="A21" s="671" t="s">
        <v>24</v>
      </c>
      <c r="B21" s="701" t="s">
        <v>37</v>
      </c>
      <c r="C21" s="701" t="s">
        <v>19</v>
      </c>
      <c r="D21" s="702" t="s">
        <v>16</v>
      </c>
      <c r="E21" s="785">
        <f>E23+E25</f>
        <v>128923.924</v>
      </c>
      <c r="F21" s="785">
        <f>F23+F25</f>
        <v>126114.93699999999</v>
      </c>
      <c r="G21" s="218">
        <f>G23+G25</f>
        <v>136323.35699999999</v>
      </c>
      <c r="H21" s="544">
        <f>AVERAGE(E21:G21)</f>
        <v>130454.07266666666</v>
      </c>
      <c r="I21" s="218">
        <f>I23+I25</f>
        <v>136598.114</v>
      </c>
      <c r="J21" s="218">
        <f>J23+J25</f>
        <v>131120.92499999999</v>
      </c>
      <c r="K21" s="218">
        <f>K23+K25</f>
        <v>131868.473</v>
      </c>
      <c r="L21" s="499">
        <f>AVERAGE(I21:K21)</f>
        <v>133195.83733333333</v>
      </c>
      <c r="M21" s="218">
        <f>M23+M25</f>
        <v>136498.86800000002</v>
      </c>
      <c r="N21" s="218">
        <f t="shared" ref="N21:O21" si="9">N23+N25</f>
        <v>122532.299</v>
      </c>
      <c r="O21" s="218">
        <f t="shared" si="9"/>
        <v>135904.52499999999</v>
      </c>
      <c r="P21" s="544">
        <f>AVERAGE(M21:O21)</f>
        <v>131645.23066666667</v>
      </c>
      <c r="Q21" s="531">
        <f>Q23+Q25</f>
        <v>145192.88800000001</v>
      </c>
      <c r="R21" s="531">
        <f>R23+R25</f>
        <v>128533.91</v>
      </c>
      <c r="S21" s="531">
        <f>S23+S25</f>
        <v>147391.88200000001</v>
      </c>
      <c r="T21" s="544">
        <f>AVERAGE(Q21:S21)</f>
        <v>140372.89333333334</v>
      </c>
      <c r="U21" s="571">
        <f>SUM(E21:G21,I21:K21,M21:O21,Q21:S21)</f>
        <v>1607004.1019999997</v>
      </c>
      <c r="V21" s="572">
        <f>AVERAGE(E21:G21,I21:K21,M21:O21,Q21:S21)</f>
        <v>133917.00849999997</v>
      </c>
      <c r="W21" s="233"/>
      <c r="X21" s="233"/>
    </row>
    <row r="22" spans="1:24" ht="30" customHeight="1" x14ac:dyDescent="0.25">
      <c r="A22" s="671"/>
      <c r="B22" s="703" t="s">
        <v>14</v>
      </c>
      <c r="C22" s="703" t="s">
        <v>38</v>
      </c>
      <c r="D22" s="704" t="s">
        <v>16</v>
      </c>
      <c r="E22" s="786">
        <f>E21/E7</f>
        <v>6139.234476190476</v>
      </c>
      <c r="F22" s="786">
        <f>F21/F7</f>
        <v>6305.7468499999995</v>
      </c>
      <c r="G22" s="221">
        <f>G21/G7</f>
        <v>6491.5884285714283</v>
      </c>
      <c r="H22" s="545">
        <f>SUM(E21:G21)/SUM(E7:G7)</f>
        <v>6312.2938387096774</v>
      </c>
      <c r="I22" s="221">
        <f>I21/I7</f>
        <v>6504.6720952380956</v>
      </c>
      <c r="J22" s="221">
        <f>J21/J7</f>
        <v>6243.8535714285708</v>
      </c>
      <c r="K22" s="221">
        <f>K21/K7</f>
        <v>6593.4236499999997</v>
      </c>
      <c r="L22" s="551">
        <f>SUM(I21:K21)/SUM(I7:K7)</f>
        <v>6444.9598709677421</v>
      </c>
      <c r="M22" s="221">
        <f>M21/M7</f>
        <v>5934.7333913043485</v>
      </c>
      <c r="N22" s="221">
        <f t="shared" ref="N22:O22" si="10">N21/N7</f>
        <v>6126.6149500000001</v>
      </c>
      <c r="O22" s="221">
        <f t="shared" si="10"/>
        <v>6177.4784090909088</v>
      </c>
      <c r="P22" s="545">
        <f>SUM(M21:O21)/SUM(M7:O7)</f>
        <v>6075.9337230769233</v>
      </c>
      <c r="Q22" s="532">
        <f>Q21/Q7</f>
        <v>6312.7342608695653</v>
      </c>
      <c r="R22" s="532">
        <f>R21/R7</f>
        <v>6764.9426315789478</v>
      </c>
      <c r="S22" s="532">
        <f>S21/S7</f>
        <v>7018.6610476190481</v>
      </c>
      <c r="T22" s="545">
        <f>SUM(Q21:S21)/SUM(Q7:S7)</f>
        <v>6684.4234920634926</v>
      </c>
      <c r="U22" s="573" t="s">
        <v>11</v>
      </c>
      <c r="V22" s="574">
        <f>U21/U7</f>
        <v>6377.0004047619041</v>
      </c>
      <c r="W22" s="233"/>
      <c r="X22" s="233"/>
    </row>
    <row r="23" spans="1:24" s="27" customFormat="1" ht="42.75" customHeight="1" x14ac:dyDescent="0.35">
      <c r="A23" s="696"/>
      <c r="B23" s="697" t="s">
        <v>36</v>
      </c>
      <c r="C23" s="681" t="s">
        <v>19</v>
      </c>
      <c r="D23" s="682" t="s">
        <v>16</v>
      </c>
      <c r="E23" s="779">
        <v>127232.25599999999</v>
      </c>
      <c r="F23" s="779">
        <v>124514.20699999999</v>
      </c>
      <c r="G23" s="495">
        <v>134563.55499999999</v>
      </c>
      <c r="H23" s="540">
        <f>AVERAGE(E23:G23)</f>
        <v>128770.00599999999</v>
      </c>
      <c r="I23" s="495">
        <v>134950.698</v>
      </c>
      <c r="J23" s="495">
        <v>129413.78599999999</v>
      </c>
      <c r="K23" s="495">
        <v>130155.163</v>
      </c>
      <c r="L23" s="494">
        <f>AVERAGE(I23:K23)</f>
        <v>131506.549</v>
      </c>
      <c r="M23" s="516">
        <v>134721.03700000001</v>
      </c>
      <c r="N23" s="516">
        <v>120912.56200000001</v>
      </c>
      <c r="O23" s="516">
        <v>134133.70499999999</v>
      </c>
      <c r="P23" s="540">
        <f>+AVERAGE(M23:O23)</f>
        <v>129922.43466666667</v>
      </c>
      <c r="Q23" s="495">
        <v>143326.94500000001</v>
      </c>
      <c r="R23" s="495">
        <v>126917.887</v>
      </c>
      <c r="S23" s="495">
        <v>145557.58600000001</v>
      </c>
      <c r="T23" s="540">
        <f>+AVERAGE(Q23:S23)</f>
        <v>138600.80600000001</v>
      </c>
      <c r="U23" s="562">
        <f>SUM(E23:G23,I23:K23,M23:O23,Q23:S23)</f>
        <v>1586399.3870000001</v>
      </c>
      <c r="V23" s="562">
        <f>AVERAGE(E23:G23,I23:K23,L23:O24)</f>
        <v>93007.676146000551</v>
      </c>
      <c r="W23" s="234"/>
      <c r="X23" s="234"/>
    </row>
    <row r="24" spans="1:24" s="25" customFormat="1" ht="30" customHeight="1" x14ac:dyDescent="0.25">
      <c r="A24" s="698"/>
      <c r="B24" s="699" t="s">
        <v>32</v>
      </c>
      <c r="C24" s="700" t="s">
        <v>21</v>
      </c>
      <c r="D24" s="684"/>
      <c r="E24" s="780">
        <f>E23/E21</f>
        <v>0.98687855638027266</v>
      </c>
      <c r="F24" s="780">
        <f>F23/F21</f>
        <v>0.98730737184604866</v>
      </c>
      <c r="G24" s="519">
        <f>G23/G21</f>
        <v>0.98709097223889519</v>
      </c>
      <c r="H24" s="541">
        <f>SUM(E23:G23)/SUM(E21:G21)</f>
        <v>0.98709073137969594</v>
      </c>
      <c r="I24" s="519">
        <f>I23/I21</f>
        <v>0.98793968707357116</v>
      </c>
      <c r="J24" s="519">
        <f>J23/J21</f>
        <v>0.98698042284250209</v>
      </c>
      <c r="K24" s="519">
        <f>K23/K21</f>
        <v>0.98700743277735536</v>
      </c>
      <c r="L24" s="491">
        <f>SUM(I23:K23)/SUM(I21:K21)</f>
        <v>0.98731725880362353</v>
      </c>
      <c r="M24" s="519">
        <f>M23/M21</f>
        <v>0.98697548905680299</v>
      </c>
      <c r="N24" s="519">
        <f t="shared" ref="N24:O24" si="11">N23/N21</f>
        <v>0.98678114249696736</v>
      </c>
      <c r="O24" s="519">
        <f t="shared" si="11"/>
        <v>0.98697011744090191</v>
      </c>
      <c r="P24" s="541">
        <f>SUM(M23:O23)/SUM(M21:O21)</f>
        <v>0.98691334284367482</v>
      </c>
      <c r="Q24" s="519">
        <f>Q23/Q21</f>
        <v>0.98714852341803405</v>
      </c>
      <c r="R24" s="519">
        <f>R23/R21</f>
        <v>0.98742726335797304</v>
      </c>
      <c r="S24" s="519">
        <f>S23/S21</f>
        <v>0.98755497266803338</v>
      </c>
      <c r="T24" s="541">
        <f>SUM(Q23:S23)/SUM(Q21:S21)</f>
        <v>0.98737585803602912</v>
      </c>
      <c r="U24" s="575" t="s">
        <v>11</v>
      </c>
      <c r="V24" s="564">
        <f>U23/U21</f>
        <v>0.98717818145308034</v>
      </c>
      <c r="W24" s="235"/>
      <c r="X24" s="236"/>
    </row>
    <row r="25" spans="1:24" s="27" customFormat="1" ht="37.5" customHeight="1" x14ac:dyDescent="0.35">
      <c r="A25" s="691"/>
      <c r="B25" s="692" t="s">
        <v>36</v>
      </c>
      <c r="C25" s="676" t="s">
        <v>19</v>
      </c>
      <c r="D25" s="677" t="s">
        <v>16</v>
      </c>
      <c r="E25" s="777">
        <v>1691.6679999999999</v>
      </c>
      <c r="F25" s="777">
        <v>1600.73</v>
      </c>
      <c r="G25" s="444">
        <v>1759.8019999999999</v>
      </c>
      <c r="H25" s="538">
        <f>AVERAGE(E25:G25)</f>
        <v>1684.0666666666666</v>
      </c>
      <c r="I25" s="444">
        <v>1647.4159999999999</v>
      </c>
      <c r="J25" s="444">
        <v>1707.1389999999999</v>
      </c>
      <c r="K25" s="444">
        <v>1713.31</v>
      </c>
      <c r="L25" s="493">
        <f>AVERAGE(I25:K25)</f>
        <v>1689.2883333333332</v>
      </c>
      <c r="M25" s="444">
        <v>1777.8309999999999</v>
      </c>
      <c r="N25" s="200">
        <v>1619.7370000000001</v>
      </c>
      <c r="O25" s="200">
        <v>1770.82</v>
      </c>
      <c r="P25" s="538">
        <f>AVERAGE(M25:O25)</f>
        <v>1722.796</v>
      </c>
      <c r="Q25" s="508">
        <v>1865.943</v>
      </c>
      <c r="R25" s="508">
        <v>1616.0229999999999</v>
      </c>
      <c r="S25" s="508">
        <v>1834.296</v>
      </c>
      <c r="T25" s="538">
        <f>AVERAGE(Q25:S25)</f>
        <v>1772.0873333333332</v>
      </c>
      <c r="U25" s="558">
        <f>SUM(E25:G25,I25:K25,M25:O25,Q25:S25)</f>
        <v>20604.714999999997</v>
      </c>
      <c r="V25" s="576">
        <f>AVERAGE(E25:G25,I25:K25,M25:O25,Q25:S25)</f>
        <v>1717.059583333333</v>
      </c>
      <c r="W25" s="234"/>
      <c r="X25" s="234"/>
    </row>
    <row r="26" spans="1:24" s="25" customFormat="1" ht="30" customHeight="1" x14ac:dyDescent="0.25">
      <c r="A26" s="693"/>
      <c r="B26" s="694" t="s">
        <v>31</v>
      </c>
      <c r="C26" s="695" t="s">
        <v>21</v>
      </c>
      <c r="D26" s="686"/>
      <c r="E26" s="781">
        <f>E25/E21</f>
        <v>1.3121443619727242E-2</v>
      </c>
      <c r="F26" s="781">
        <f>F25/F21</f>
        <v>1.2692628153951344E-2</v>
      </c>
      <c r="G26" s="521">
        <f>G25/G21</f>
        <v>1.2909027761104797E-2</v>
      </c>
      <c r="H26" s="539">
        <f>SUM(E25:G25)/SUM(E21:G21)</f>
        <v>1.2909268620304068E-2</v>
      </c>
      <c r="I26" s="521">
        <f>I25/I21</f>
        <v>1.2060312926428837E-2</v>
      </c>
      <c r="J26" s="521">
        <f>J25/J21</f>
        <v>1.3019577157497936E-2</v>
      </c>
      <c r="K26" s="521">
        <f>K25/K21</f>
        <v>1.2992567222644642E-2</v>
      </c>
      <c r="L26" s="492">
        <f>SUM(I25:K25)/SUM(I21:K21)</f>
        <v>1.2682741196376527E-2</v>
      </c>
      <c r="M26" s="521">
        <f>M25/M21</f>
        <v>1.3024510943196977E-2</v>
      </c>
      <c r="N26" s="521">
        <f t="shared" ref="N26:O26" si="12">N25/N21</f>
        <v>1.3218857503032732E-2</v>
      </c>
      <c r="O26" s="521">
        <f t="shared" si="12"/>
        <v>1.3029882559098014E-2</v>
      </c>
      <c r="P26" s="539">
        <f>SUM(M25:O25)/SUM(M21:O21)</f>
        <v>1.3086657156325085E-2</v>
      </c>
      <c r="Q26" s="513">
        <f>Q25/Q21</f>
        <v>1.2851476581965915E-2</v>
      </c>
      <c r="R26" s="513">
        <f>R25/R21</f>
        <v>1.2572736642026993E-2</v>
      </c>
      <c r="S26" s="513">
        <f>S25/S21</f>
        <v>1.2445027331966627E-2</v>
      </c>
      <c r="T26" s="539">
        <f>SUM(Q25:S25)/SUM(Q21:S21)</f>
        <v>1.262414196397082E-2</v>
      </c>
      <c r="U26" s="577" t="s">
        <v>11</v>
      </c>
      <c r="V26" s="565">
        <f>U25/U21</f>
        <v>1.2821818546919926E-2</v>
      </c>
      <c r="W26" s="235"/>
      <c r="X26" s="235"/>
    </row>
    <row r="27" spans="1:24" ht="30" customHeight="1" x14ac:dyDescent="0.25">
      <c r="A27" s="673" t="s">
        <v>33</v>
      </c>
      <c r="B27" s="687" t="s">
        <v>34</v>
      </c>
      <c r="C27" s="689" t="s">
        <v>18</v>
      </c>
      <c r="D27" s="690"/>
      <c r="E27" s="787">
        <v>1656</v>
      </c>
      <c r="F27" s="787">
        <v>1654</v>
      </c>
      <c r="G27" s="533">
        <v>1654</v>
      </c>
      <c r="H27" s="546">
        <f>AVERAGE(E27:G27)</f>
        <v>1654.6666666666667</v>
      </c>
      <c r="I27" s="533">
        <v>1654</v>
      </c>
      <c r="J27" s="533">
        <v>1654</v>
      </c>
      <c r="K27" s="533">
        <v>1652</v>
      </c>
      <c r="L27" s="552">
        <f>AVERAGE(I27:K27)</f>
        <v>1653.3333333333333</v>
      </c>
      <c r="M27" s="533">
        <v>1653</v>
      </c>
      <c r="N27" s="533">
        <v>1653</v>
      </c>
      <c r="O27" s="533">
        <v>1649</v>
      </c>
      <c r="P27" s="546">
        <f>AVERAGE(M27:O27)</f>
        <v>1651.6666666666667</v>
      </c>
      <c r="Q27" s="534">
        <v>1649</v>
      </c>
      <c r="R27" s="534">
        <v>1650</v>
      </c>
      <c r="S27" s="534">
        <v>1650</v>
      </c>
      <c r="T27" s="546">
        <f>AVERAGE(Q27:S27)</f>
        <v>1649.6666666666667</v>
      </c>
      <c r="U27" s="578" t="s">
        <v>11</v>
      </c>
      <c r="V27" s="579">
        <f>AVERAGE(E27:G27,I27:K27,M27:O27,Q27:S27)</f>
        <v>1652.3333333333333</v>
      </c>
      <c r="W27" s="233"/>
      <c r="X27" s="233"/>
    </row>
    <row r="28" spans="1:24" ht="30" customHeight="1" x14ac:dyDescent="0.25">
      <c r="A28" s="705"/>
      <c r="B28" s="705"/>
      <c r="C28" s="701" t="s">
        <v>19</v>
      </c>
      <c r="D28" s="702" t="s">
        <v>16</v>
      </c>
      <c r="E28" s="785">
        <f>E21</f>
        <v>128923.924</v>
      </c>
      <c r="F28" s="785">
        <f>F21</f>
        <v>126114.93699999999</v>
      </c>
      <c r="G28" s="218">
        <f>G21</f>
        <v>136323.35699999999</v>
      </c>
      <c r="H28" s="544">
        <f>AVERAGE(E28:G28)</f>
        <v>130454.07266666666</v>
      </c>
      <c r="I28" s="218">
        <f>I21</f>
        <v>136598.114</v>
      </c>
      <c r="J28" s="218">
        <f>J21</f>
        <v>131120.92499999999</v>
      </c>
      <c r="K28" s="218">
        <f>K21</f>
        <v>131868.473</v>
      </c>
      <c r="L28" s="499">
        <f>AVERAGE(I28:J28)</f>
        <v>133859.51949999999</v>
      </c>
      <c r="M28" s="218">
        <f>M21</f>
        <v>136498.86800000002</v>
      </c>
      <c r="N28" s="218">
        <f t="shared" ref="N28:O28" si="13">N21</f>
        <v>122532.299</v>
      </c>
      <c r="O28" s="218">
        <f t="shared" si="13"/>
        <v>135904.52499999999</v>
      </c>
      <c r="P28" s="544">
        <f>AVERAGE(M28:O28)</f>
        <v>131645.23066666667</v>
      </c>
      <c r="Q28" s="531">
        <f>Q21</f>
        <v>145192.88800000001</v>
      </c>
      <c r="R28" s="531">
        <f>R21</f>
        <v>128533.91</v>
      </c>
      <c r="S28" s="531">
        <f>S21</f>
        <v>147391.88200000001</v>
      </c>
      <c r="T28" s="544">
        <f>AVERAGE(Q28:S28)</f>
        <v>140372.89333333334</v>
      </c>
      <c r="U28" s="571">
        <f>SUM(E28:G28,I28:K28,M28:O28,Q28:S28)</f>
        <v>1607004.1019999997</v>
      </c>
      <c r="V28" s="571">
        <f>AVERAGE(E28:G28,I28:K28,M28:O28,Q28:S28)</f>
        <v>133917.00849999997</v>
      </c>
      <c r="W28" s="233"/>
      <c r="X28" s="233"/>
    </row>
    <row r="29" spans="1:24" ht="30" customHeight="1" x14ac:dyDescent="0.25">
      <c r="A29" s="706"/>
      <c r="B29" s="707"/>
      <c r="C29" s="689" t="s">
        <v>20</v>
      </c>
      <c r="D29" s="690" t="s">
        <v>16</v>
      </c>
      <c r="E29" s="783">
        <f>E28/E7</f>
        <v>6139.234476190476</v>
      </c>
      <c r="F29" s="783">
        <f>F28/E7</f>
        <v>6005.4731904761902</v>
      </c>
      <c r="G29" s="496">
        <f>G28/E7</f>
        <v>6491.5884285714283</v>
      </c>
      <c r="H29" s="543">
        <f>SUM(E28:G28)/SUM(E7:G7)</f>
        <v>6312.2938387096774</v>
      </c>
      <c r="I29" s="496">
        <f>I28/I7</f>
        <v>6504.6720952380956</v>
      </c>
      <c r="J29" s="496">
        <f>J28/J7</f>
        <v>6243.8535714285708</v>
      </c>
      <c r="K29" s="496">
        <f>K28/K7</f>
        <v>6593.4236499999997</v>
      </c>
      <c r="L29" s="497">
        <f>SUM(I28:K28)/SUM(I7:K7)</f>
        <v>6444.9598709677421</v>
      </c>
      <c r="M29" s="496">
        <f>M28/M7</f>
        <v>5934.7333913043485</v>
      </c>
      <c r="N29" s="496">
        <f t="shared" ref="N29:O29" si="14">N28/N7</f>
        <v>6126.6149500000001</v>
      </c>
      <c r="O29" s="496">
        <f t="shared" si="14"/>
        <v>6177.4784090909088</v>
      </c>
      <c r="P29" s="543">
        <f>SUM(M28:O28)/SUM(M7:O7)</f>
        <v>6075.9337230769233</v>
      </c>
      <c r="Q29" s="496">
        <f>Q28/Q7</f>
        <v>6312.7342608695653</v>
      </c>
      <c r="R29" s="496">
        <f>R28/R7</f>
        <v>6764.9426315789478</v>
      </c>
      <c r="S29" s="496">
        <f>S28/S7</f>
        <v>7018.6610476190481</v>
      </c>
      <c r="T29" s="543">
        <f>SUM(Q28:S28)/SUM(Q7:S7)</f>
        <v>6684.4234920634926</v>
      </c>
      <c r="U29" s="568" t="s">
        <v>11</v>
      </c>
      <c r="V29" s="569">
        <f>U28/U7</f>
        <v>6377.0004047619041</v>
      </c>
      <c r="W29" s="233"/>
      <c r="X29" s="233"/>
    </row>
    <row r="30" spans="1:24" ht="30" customHeight="1" x14ac:dyDescent="0.25">
      <c r="A30" s="705"/>
      <c r="B30" s="705"/>
      <c r="C30" s="703" t="s">
        <v>22</v>
      </c>
      <c r="D30" s="704" t="s">
        <v>219</v>
      </c>
      <c r="E30" s="786">
        <f>E31/E28*1000</f>
        <v>2553.0873230324578</v>
      </c>
      <c r="F30" s="786">
        <f>F31/F28*1000</f>
        <v>2368.9116619072652</v>
      </c>
      <c r="G30" s="221">
        <f>G31/G28*1000</f>
        <v>2402.0553352423685</v>
      </c>
      <c r="H30" s="545">
        <f>SUM(E31:G31)/SUM(E28:G28)*1000</f>
        <v>2441.1284075459735</v>
      </c>
      <c r="I30" s="221">
        <f>I31/I28*1000</f>
        <v>2505.8023641526997</v>
      </c>
      <c r="J30" s="221">
        <f>J31/J28*1000</f>
        <v>2428.5563574235002</v>
      </c>
      <c r="K30" s="221">
        <f>K31/K28*1000</f>
        <v>2449.517505219007</v>
      </c>
      <c r="L30" s="551">
        <f>SUM(I31:K31)/SUM(I28:K28)*1000</f>
        <v>2461.8801550534945</v>
      </c>
      <c r="M30" s="221">
        <f>M31/M28*1000</f>
        <v>2585.300978466722</v>
      </c>
      <c r="N30" s="221">
        <f>N31/N28*1000</f>
        <v>2595.8014384435892</v>
      </c>
      <c r="O30" s="221">
        <f>O31/O28*1000</f>
        <v>2501.7204320459532</v>
      </c>
      <c r="P30" s="545">
        <f>SUM(M31:O31)/SUM(M28:O28)*1000</f>
        <v>2559.797259347225</v>
      </c>
      <c r="Q30" s="532">
        <f>Q31/Q28*1000</f>
        <v>2498.8438621043197</v>
      </c>
      <c r="R30" s="532">
        <f>R31/R28*1000</f>
        <v>2517.1492487857868</v>
      </c>
      <c r="S30" s="532">
        <f>S31/S28*1000</f>
        <v>2628.6003594146382</v>
      </c>
      <c r="T30" s="545">
        <f>SUM(Q31:S31)/SUM(Q28:S28)*1000</f>
        <v>2549.8459151705165</v>
      </c>
      <c r="U30" s="664" t="s">
        <v>11</v>
      </c>
      <c r="V30" s="603">
        <f>U31/U28*1000</f>
        <v>2503.9419855818146</v>
      </c>
      <c r="W30" s="233"/>
      <c r="X30" s="233"/>
    </row>
    <row r="31" spans="1:24" ht="30" customHeight="1" x14ac:dyDescent="0.25">
      <c r="A31" s="706"/>
      <c r="B31" s="707"/>
      <c r="C31" s="687" t="s">
        <v>26</v>
      </c>
      <c r="D31" s="688" t="s">
        <v>9</v>
      </c>
      <c r="E31" s="782">
        <f>E15</f>
        <v>329154.03600000002</v>
      </c>
      <c r="F31" s="782">
        <f>F15</f>
        <v>298755.14500000002</v>
      </c>
      <c r="G31" s="524">
        <f>G15</f>
        <v>327456.24700000003</v>
      </c>
      <c r="H31" s="542">
        <f>AVERAGE(E31:G31)</f>
        <v>318455.14266666671</v>
      </c>
      <c r="I31" s="524">
        <f>I15</f>
        <v>342287.87699999998</v>
      </c>
      <c r="J31" s="524">
        <f>J15</f>
        <v>318434.55599999992</v>
      </c>
      <c r="K31" s="524">
        <f>K15</f>
        <v>323014.13300000003</v>
      </c>
      <c r="L31" s="550">
        <f>AVERAGE(I31:K31)</f>
        <v>327912.18866666668</v>
      </c>
      <c r="M31" s="524">
        <f>M15</f>
        <v>352890.65699999995</v>
      </c>
      <c r="N31" s="524">
        <f t="shared" ref="N31:O31" si="15">N15</f>
        <v>318069.51799999998</v>
      </c>
      <c r="O31" s="524">
        <f t="shared" si="15"/>
        <v>339995.12700000004</v>
      </c>
      <c r="P31" s="542">
        <f>AVERAGE(M31:O31)</f>
        <v>336985.10066666664</v>
      </c>
      <c r="Q31" s="524">
        <f>Q15</f>
        <v>362814.35699999996</v>
      </c>
      <c r="R31" s="524">
        <f>R15</f>
        <v>323539.03499999997</v>
      </c>
      <c r="S31" s="524">
        <f>S15</f>
        <v>387434.35399999999</v>
      </c>
      <c r="T31" s="542">
        <f>AVERAGE(Q31:S31)</f>
        <v>357929.24866666668</v>
      </c>
      <c r="U31" s="567">
        <f>SUM(E31:G31,I31:K31,M31:O31,Q31:S31)</f>
        <v>4023845.0419999999</v>
      </c>
      <c r="V31" s="567">
        <f>AVERAGE(E31:G31,I31:K31,M31:O31,Q31:S31)</f>
        <v>335320.42016666668</v>
      </c>
      <c r="W31" s="233"/>
      <c r="X31" s="233"/>
    </row>
    <row r="32" spans="1:24" ht="33" customHeight="1" x14ac:dyDescent="0.25">
      <c r="A32" s="708"/>
      <c r="B32" s="708"/>
      <c r="C32" s="709" t="s">
        <v>20</v>
      </c>
      <c r="D32" s="710" t="s">
        <v>9</v>
      </c>
      <c r="E32" s="788">
        <f>E31/E7</f>
        <v>15674.001714285716</v>
      </c>
      <c r="F32" s="788">
        <f>F31/F7</f>
        <v>14937.757250000001</v>
      </c>
      <c r="G32" s="770">
        <f>G31/G7</f>
        <v>15593.15461904762</v>
      </c>
      <c r="H32" s="772">
        <f>SUM(E31:G31)/SUM(E7:G7)</f>
        <v>15409.119806451614</v>
      </c>
      <c r="I32" s="771">
        <f>I31/I7</f>
        <v>16299.422714285713</v>
      </c>
      <c r="J32" s="771">
        <f>J31/J7</f>
        <v>15163.550285714282</v>
      </c>
      <c r="K32" s="771">
        <f>K31/K7</f>
        <v>16150.706650000002</v>
      </c>
      <c r="L32" s="773">
        <f>SUM(I31:K31)/SUM(I7:K7)</f>
        <v>15866.718806451612</v>
      </c>
      <c r="M32" s="771">
        <f>M31/M7</f>
        <v>15343.072043478258</v>
      </c>
      <c r="N32" s="771">
        <f>N31/N7</f>
        <v>15903.475899999999</v>
      </c>
      <c r="O32" s="771">
        <f>O31/O7</f>
        <v>15454.323954545456</v>
      </c>
      <c r="P32" s="772">
        <f>SUM(M31:O31)/SUM(M7:O7)</f>
        <v>15553.158492307692</v>
      </c>
      <c r="Q32" s="774">
        <f>Q31/Q7</f>
        <v>15774.537260869563</v>
      </c>
      <c r="R32" s="774">
        <f>R31/R7</f>
        <v>17028.370263157893</v>
      </c>
      <c r="S32" s="774">
        <f>S31/S7</f>
        <v>18449.25495238095</v>
      </c>
      <c r="T32" s="772">
        <f>SUM(Q31:S31)/SUM(Q7:S7)</f>
        <v>17044.249936507938</v>
      </c>
      <c r="U32" s="775" t="s">
        <v>11</v>
      </c>
      <c r="V32" s="776">
        <f>U31/U7</f>
        <v>15967.639055555555</v>
      </c>
      <c r="W32" s="233"/>
      <c r="X32" s="233"/>
    </row>
    <row r="33" spans="1:24" s="135" customFormat="1" ht="30" customHeight="1" x14ac:dyDescent="0.25">
      <c r="A33" s="325"/>
      <c r="B33" s="119"/>
      <c r="C33" s="2"/>
      <c r="D33" s="326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50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490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500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7">
    <mergeCell ref="B13:B14"/>
    <mergeCell ref="A3:V3"/>
    <mergeCell ref="A4:V4"/>
    <mergeCell ref="B5:C6"/>
    <mergeCell ref="B7:C7"/>
    <mergeCell ref="B8:C8"/>
    <mergeCell ref="B11:B12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43" orientation="landscape" r:id="rId1"/>
  <headerFooter alignWithMargins="0"/>
  <ignoredErrors>
    <ignoredError sqref="H10:H23 H28 H24:H27 H29:H32 L10:L32 P10:P32" formula="1"/>
    <ignoredError sqref="T7:T9 Q10 Q12 Q14:Q18 Q20:Q22 Q24 Q26 Q28:Q32" evalError="1"/>
    <ignoredError sqref="T10:T32" evalError="1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2057"/>
  <sheetViews>
    <sheetView view="pageBreakPreview" topLeftCell="A7" zoomScale="60" zoomScaleNormal="60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0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6.699218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  <c r="K2" s="588"/>
    </row>
    <row r="3" spans="1:24" ht="19.5" customHeight="1" x14ac:dyDescent="0.4">
      <c r="A3" s="958" t="s">
        <v>42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</row>
    <row r="4" spans="1:24" s="134" customFormat="1" ht="24" customHeight="1" x14ac:dyDescent="0.25">
      <c r="A4" s="959" t="s">
        <v>285</v>
      </c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</row>
    <row r="5" spans="1:24" ht="42" customHeight="1" thickBot="1" x14ac:dyDescent="0.45">
      <c r="A5" s="662" t="s">
        <v>1</v>
      </c>
      <c r="B5" s="973" t="s">
        <v>2</v>
      </c>
      <c r="C5" s="974"/>
      <c r="D5" s="665" t="s">
        <v>3</v>
      </c>
      <c r="E5" s="666" t="s">
        <v>269</v>
      </c>
      <c r="F5" s="666" t="s">
        <v>270</v>
      </c>
      <c r="G5" s="666" t="s">
        <v>271</v>
      </c>
      <c r="H5" s="666" t="s">
        <v>272</v>
      </c>
      <c r="I5" s="666" t="s">
        <v>273</v>
      </c>
      <c r="J5" s="666" t="s">
        <v>274</v>
      </c>
      <c r="K5" s="666" t="s">
        <v>275</v>
      </c>
      <c r="L5" s="666" t="s">
        <v>276</v>
      </c>
      <c r="M5" s="666" t="s">
        <v>277</v>
      </c>
      <c r="N5" s="666" t="s">
        <v>278</v>
      </c>
      <c r="O5" s="666" t="s">
        <v>279</v>
      </c>
      <c r="P5" s="666" t="s">
        <v>280</v>
      </c>
      <c r="Q5" s="666" t="s">
        <v>281</v>
      </c>
      <c r="R5" s="666" t="s">
        <v>282</v>
      </c>
      <c r="S5" s="666" t="s">
        <v>283</v>
      </c>
      <c r="T5" s="666" t="s">
        <v>284</v>
      </c>
      <c r="U5" s="667" t="s">
        <v>46</v>
      </c>
      <c r="V5" s="668" t="s">
        <v>58</v>
      </c>
      <c r="W5" s="233"/>
      <c r="X5" s="233"/>
    </row>
    <row r="6" spans="1:24" ht="44.25" customHeight="1" thickTop="1" x14ac:dyDescent="0.35">
      <c r="A6" s="663"/>
      <c r="B6" s="975"/>
      <c r="C6" s="976"/>
      <c r="D6" s="590" t="s">
        <v>4</v>
      </c>
      <c r="E6" s="583"/>
      <c r="F6" s="583"/>
      <c r="G6" s="583"/>
      <c r="H6" s="584" t="s">
        <v>45</v>
      </c>
      <c r="I6" s="585"/>
      <c r="J6" s="585"/>
      <c r="K6" s="585"/>
      <c r="L6" s="584" t="s">
        <v>45</v>
      </c>
      <c r="M6" s="585"/>
      <c r="N6" s="585"/>
      <c r="O6" s="585"/>
      <c r="P6" s="584" t="s">
        <v>45</v>
      </c>
      <c r="Q6" s="585"/>
      <c r="R6" s="585"/>
      <c r="S6" s="585"/>
      <c r="T6" s="584" t="s">
        <v>45</v>
      </c>
      <c r="U6" s="586" t="s">
        <v>53</v>
      </c>
      <c r="V6" s="587" t="s">
        <v>53</v>
      </c>
      <c r="W6" s="233"/>
      <c r="X6" s="233"/>
    </row>
    <row r="7" spans="1:24" ht="30" customHeight="1" x14ac:dyDescent="0.25">
      <c r="A7" s="325" t="s">
        <v>5</v>
      </c>
      <c r="B7" s="985" t="s">
        <v>6</v>
      </c>
      <c r="C7" s="985"/>
      <c r="D7" s="501"/>
      <c r="E7" s="326">
        <v>22</v>
      </c>
      <c r="F7" s="326">
        <v>20</v>
      </c>
      <c r="G7" s="326">
        <v>21</v>
      </c>
      <c r="H7" s="536">
        <f t="shared" ref="H7:H15" si="0">AVERAGE(E7:G7)</f>
        <v>21</v>
      </c>
      <c r="I7" s="326">
        <v>21</v>
      </c>
      <c r="J7" s="326">
        <v>20</v>
      </c>
      <c r="K7" s="326">
        <v>20</v>
      </c>
      <c r="L7" s="548">
        <f>AVERAGE(I7:K7)</f>
        <v>20.333333333333332</v>
      </c>
      <c r="M7" s="326">
        <v>23</v>
      </c>
      <c r="N7" s="326">
        <v>21</v>
      </c>
      <c r="O7" s="326">
        <v>21</v>
      </c>
      <c r="P7" s="536">
        <f>AVERAGE(M7:O7)</f>
        <v>21.666666666666668</v>
      </c>
      <c r="Q7" s="502">
        <v>23</v>
      </c>
      <c r="R7" s="502">
        <v>19</v>
      </c>
      <c r="S7" s="502">
        <v>20</v>
      </c>
      <c r="T7" s="536">
        <f>AVERAGE(Q7:S7)</f>
        <v>20.666666666666668</v>
      </c>
      <c r="U7" s="553">
        <f>SUM(E7:G7,I7:K7,M7:O7,Q7:S7)</f>
        <v>251</v>
      </c>
      <c r="V7" s="554">
        <f>AVERAGE(E7:G7,I7:K7,M7:O7,Q7:S7)</f>
        <v>20.916666666666668</v>
      </c>
      <c r="W7" s="233"/>
      <c r="X7" s="233"/>
    </row>
    <row r="8" spans="1:24" ht="30" customHeight="1" x14ac:dyDescent="0.25">
      <c r="A8" s="593" t="s">
        <v>7</v>
      </c>
      <c r="B8" s="986" t="s">
        <v>40</v>
      </c>
      <c r="C8" s="986"/>
      <c r="D8" s="503"/>
      <c r="E8" s="504">
        <v>48</v>
      </c>
      <c r="F8" s="504">
        <v>47</v>
      </c>
      <c r="G8" s="504">
        <v>47</v>
      </c>
      <c r="H8" s="537">
        <f t="shared" si="0"/>
        <v>47.333333333333336</v>
      </c>
      <c r="I8" s="504">
        <v>46</v>
      </c>
      <c r="J8" s="504">
        <v>46</v>
      </c>
      <c r="K8" s="504">
        <v>46</v>
      </c>
      <c r="L8" s="549">
        <f>AVERAGE(I8:K8)</f>
        <v>46</v>
      </c>
      <c r="M8" s="504">
        <v>46</v>
      </c>
      <c r="N8" s="504">
        <v>46</v>
      </c>
      <c r="O8" s="504">
        <v>46</v>
      </c>
      <c r="P8" s="537">
        <f>AVERAGE(M8:O8)</f>
        <v>46</v>
      </c>
      <c r="Q8" s="505">
        <v>46</v>
      </c>
      <c r="R8" s="505">
        <v>46</v>
      </c>
      <c r="S8" s="505">
        <v>46</v>
      </c>
      <c r="T8" s="537">
        <f>AVERAGE(Q8:S8)</f>
        <v>46</v>
      </c>
      <c r="U8" s="555" t="s">
        <v>11</v>
      </c>
      <c r="V8" s="556">
        <f>AVERAGE(E8:G8,I8:K8,M8:O8,Q8:S8)</f>
        <v>46.333333333333336</v>
      </c>
      <c r="W8" s="233"/>
      <c r="X8" s="233"/>
    </row>
    <row r="9" spans="1:24" ht="44.25" customHeight="1" x14ac:dyDescent="0.35">
      <c r="A9" s="325" t="s">
        <v>12</v>
      </c>
      <c r="B9" s="506" t="s">
        <v>27</v>
      </c>
      <c r="C9" s="23" t="s">
        <v>181</v>
      </c>
      <c r="D9" s="507" t="s">
        <v>9</v>
      </c>
      <c r="E9" s="444">
        <v>138046.367</v>
      </c>
      <c r="F9" s="444">
        <v>118728.319</v>
      </c>
      <c r="G9" s="444">
        <v>127364.85400000001</v>
      </c>
      <c r="H9" s="538">
        <f t="shared" si="0"/>
        <v>128046.51333333332</v>
      </c>
      <c r="I9" s="444">
        <v>134609.758</v>
      </c>
      <c r="J9" s="444">
        <v>129597.643</v>
      </c>
      <c r="K9" s="444">
        <v>127279.871</v>
      </c>
      <c r="L9" s="493">
        <f>AVERAGE(I9:K9)</f>
        <v>130495.75733333333</v>
      </c>
      <c r="M9" s="598">
        <v>142628.614</v>
      </c>
      <c r="N9" s="601">
        <v>133855.84700000001</v>
      </c>
      <c r="O9" s="602">
        <v>131771.02100000001</v>
      </c>
      <c r="P9" s="538">
        <f>AVERAGE(M9:O9)</f>
        <v>136085.16066666666</v>
      </c>
      <c r="Q9" s="508">
        <v>148210.9</v>
      </c>
      <c r="R9" s="508">
        <v>131664.95999999999</v>
      </c>
      <c r="S9" s="508">
        <v>152551.41200000001</v>
      </c>
      <c r="T9" s="538">
        <f>AVERAGE(Q9:S9)</f>
        <v>144142.424</v>
      </c>
      <c r="U9" s="557">
        <f>SUM(E9:G9,I9:K9,M9:O9,Q9:S9)</f>
        <v>1616309.5659999999</v>
      </c>
      <c r="V9" s="558">
        <f>AVERAGE(E9:G9,I9:K9,M9:O9,Q9:S9)</f>
        <v>134692.46383333331</v>
      </c>
      <c r="W9" s="317"/>
      <c r="X9" s="233"/>
    </row>
    <row r="10" spans="1:24" ht="30" customHeight="1" x14ac:dyDescent="0.35">
      <c r="A10" s="325"/>
      <c r="B10" s="509" t="s">
        <v>28</v>
      </c>
      <c r="C10" s="510" t="s">
        <v>10</v>
      </c>
      <c r="D10" s="511"/>
      <c r="E10" s="512">
        <f>E9/E15</f>
        <v>0.43006658783597751</v>
      </c>
      <c r="F10" s="512">
        <f>F9/F15</f>
        <v>0.41784112696666176</v>
      </c>
      <c r="G10" s="512">
        <f>G9/G15</f>
        <v>0.41513064999361782</v>
      </c>
      <c r="H10" s="539">
        <f t="shared" si="0"/>
        <v>0.42101278826541905</v>
      </c>
      <c r="I10" s="513">
        <f>I9/I15</f>
        <v>0.4173118736493569</v>
      </c>
      <c r="J10" s="513">
        <f>J9/J15</f>
        <v>0.42192150153550317</v>
      </c>
      <c r="K10" s="513">
        <f>K9/K15</f>
        <v>0.41853085033056259</v>
      </c>
      <c r="L10" s="492">
        <f>SUM(I9:K9)/SUM(I15:K15)</f>
        <v>0.41922505862651488</v>
      </c>
      <c r="M10" s="513">
        <f>M9/M15</f>
        <v>0.42093504349307931</v>
      </c>
      <c r="N10" s="513">
        <f>N9/N15</f>
        <v>0.42518189064857903</v>
      </c>
      <c r="O10" s="513">
        <f>O9/O15</f>
        <v>0.41517516451680725</v>
      </c>
      <c r="P10" s="539">
        <f>SUM(M9:O9)/SUM(M15:O15)</f>
        <v>0.42042928393405737</v>
      </c>
      <c r="Q10" s="513">
        <f>Q9/Q15</f>
        <v>0.41772746466740729</v>
      </c>
      <c r="R10" s="513">
        <f>R9/R15</f>
        <v>0.41447594403114602</v>
      </c>
      <c r="S10" s="513">
        <f>S9/S15</f>
        <v>0.4254398612131246</v>
      </c>
      <c r="T10" s="539">
        <f>SUM(Q9:S9)/SUM(Q15:S15)</f>
        <v>0.41940786337646069</v>
      </c>
      <c r="U10" s="559" t="s">
        <v>11</v>
      </c>
      <c r="V10" s="560">
        <f>U9/U15</f>
        <v>0.42005367626849932</v>
      </c>
      <c r="W10" s="448"/>
      <c r="X10" s="402"/>
    </row>
    <row r="11" spans="1:24" ht="40.5" customHeight="1" x14ac:dyDescent="0.35">
      <c r="A11" s="593"/>
      <c r="B11" s="968" t="s">
        <v>29</v>
      </c>
      <c r="C11" s="514" t="s">
        <v>181</v>
      </c>
      <c r="D11" s="515" t="s">
        <v>9</v>
      </c>
      <c r="E11" s="495">
        <v>114484.223</v>
      </c>
      <c r="F11" s="495">
        <v>105646.63</v>
      </c>
      <c r="G11" s="495">
        <v>115684.37</v>
      </c>
      <c r="H11" s="540">
        <f t="shared" si="0"/>
        <v>111938.40766666667</v>
      </c>
      <c r="I11" s="495">
        <v>120357.504</v>
      </c>
      <c r="J11" s="495">
        <v>114691.815</v>
      </c>
      <c r="K11" s="495">
        <v>113076.09</v>
      </c>
      <c r="L11" s="494">
        <f>AVERAGE(I11:K11)</f>
        <v>116041.803</v>
      </c>
      <c r="M11" s="599">
        <v>126414.132</v>
      </c>
      <c r="N11" s="516">
        <v>116421.31600000001</v>
      </c>
      <c r="O11" s="516">
        <v>119384.53200000001</v>
      </c>
      <c r="P11" s="540">
        <f>AVERAGE(M11:O11)</f>
        <v>120739.99333333333</v>
      </c>
      <c r="Q11" s="495">
        <v>132933.19399999999</v>
      </c>
      <c r="R11" s="495">
        <v>118549.12</v>
      </c>
      <c r="S11" s="495">
        <v>130651.967</v>
      </c>
      <c r="T11" s="540">
        <f>AVERAGE(Q11:S11)</f>
        <v>127378.09366666665</v>
      </c>
      <c r="U11" s="561">
        <f>SUM(E11:G11,I11:K11,M11:O11,Q11:S11)</f>
        <v>1428294.8929999999</v>
      </c>
      <c r="V11" s="562">
        <f>AVERAGE(E11:G11,I11:K11,M11:O11,Q11:S11)</f>
        <v>119024.57441666666</v>
      </c>
      <c r="W11" s="402"/>
      <c r="X11" s="233"/>
    </row>
    <row r="12" spans="1:24" ht="30" customHeight="1" x14ac:dyDescent="0.25">
      <c r="A12" s="593"/>
      <c r="B12" s="968"/>
      <c r="C12" s="517" t="s">
        <v>10</v>
      </c>
      <c r="D12" s="518"/>
      <c r="E12" s="519">
        <f>E11/E15</f>
        <v>0.35666160737618785</v>
      </c>
      <c r="F12" s="519">
        <f>F11/F15</f>
        <v>0.37180267783821597</v>
      </c>
      <c r="G12" s="519">
        <f>G11/G15</f>
        <v>0.37705949643064152</v>
      </c>
      <c r="H12" s="541">
        <f t="shared" si="0"/>
        <v>0.36850792721501513</v>
      </c>
      <c r="I12" s="519">
        <f>I11/I15</f>
        <v>0.37312759675268092</v>
      </c>
      <c r="J12" s="519">
        <f>J11/J15</f>
        <v>0.3733936951201508</v>
      </c>
      <c r="K12" s="519">
        <f>K11/K15</f>
        <v>0.37182495337189037</v>
      </c>
      <c r="L12" s="491">
        <f>SUM(I11:K11)/SUM(I15:K15)</f>
        <v>0.37279090646248253</v>
      </c>
      <c r="M12" s="597">
        <f>M11/M15</f>
        <v>0.37308178674133274</v>
      </c>
      <c r="N12" s="519">
        <f t="shared" ref="N12:O12" si="1">N11/N15</f>
        <v>0.36980256266785017</v>
      </c>
      <c r="O12" s="519">
        <f t="shared" si="1"/>
        <v>0.37614865801079311</v>
      </c>
      <c r="P12" s="541">
        <f>SUM(M11:O11)/SUM(M15:O15)</f>
        <v>0.37302104572354172</v>
      </c>
      <c r="Q12" s="519">
        <f>Q11/Q15</f>
        <v>0.37466776127640139</v>
      </c>
      <c r="R12" s="519">
        <f>R11/R15</f>
        <v>0.37318781265768519</v>
      </c>
      <c r="S12" s="519">
        <f>S11/S15</f>
        <v>0.36436604538083023</v>
      </c>
      <c r="T12" s="541">
        <f>SUM(Q11:S11)/SUM(Q15:S15)</f>
        <v>0.3706290807604522</v>
      </c>
      <c r="U12" s="563" t="s">
        <v>11</v>
      </c>
      <c r="V12" s="564">
        <f>U11/U15</f>
        <v>0.37119159177219946</v>
      </c>
      <c r="W12" s="402"/>
      <c r="X12" s="233"/>
    </row>
    <row r="13" spans="1:24" ht="46.5" customHeight="1" x14ac:dyDescent="0.35">
      <c r="A13" s="325"/>
      <c r="B13" s="956" t="s">
        <v>30</v>
      </c>
      <c r="C13" s="23" t="s">
        <v>181</v>
      </c>
      <c r="D13" s="507" t="s">
        <v>9</v>
      </c>
      <c r="E13" s="444">
        <v>67144.053</v>
      </c>
      <c r="F13" s="444">
        <v>58524.56</v>
      </c>
      <c r="G13" s="444">
        <v>62402.81</v>
      </c>
      <c r="H13" s="538">
        <f t="shared" si="0"/>
        <v>62690.474333333339</v>
      </c>
      <c r="I13" s="444">
        <v>66135.433999999994</v>
      </c>
      <c r="J13" s="444">
        <v>61463.756000000001</v>
      </c>
      <c r="K13" s="444">
        <v>62424.099000000002</v>
      </c>
      <c r="L13" s="493">
        <f>AVERAGE(I13:K13)</f>
        <v>63341.096333333327</v>
      </c>
      <c r="M13" s="598">
        <v>68283.917000000001</v>
      </c>
      <c r="N13" s="200">
        <v>63227.957000000002</v>
      </c>
      <c r="O13" s="200">
        <v>64846.245999999999</v>
      </c>
      <c r="P13" s="538">
        <f>AVERAGE(M13:O13)</f>
        <v>65452.706666666665</v>
      </c>
      <c r="Q13" s="508">
        <v>72229.122000000003</v>
      </c>
      <c r="R13" s="508">
        <v>66115.835999999996</v>
      </c>
      <c r="S13" s="508">
        <v>73901.962</v>
      </c>
      <c r="T13" s="538">
        <f>AVERAGE(Q13:S13)</f>
        <v>70748.973333333328</v>
      </c>
      <c r="U13" s="557">
        <f>SUM(E13:G13,I13:K13,M13:O13,Q13:S13)</f>
        <v>786699.75200000009</v>
      </c>
      <c r="V13" s="558">
        <f>AVERAGE(E13:G13,I13:K13,M13:O13,Q13:S13)</f>
        <v>65558.312666666679</v>
      </c>
      <c r="W13" s="402"/>
      <c r="X13" s="233"/>
    </row>
    <row r="14" spans="1:24" ht="30" customHeight="1" x14ac:dyDescent="0.25">
      <c r="A14" s="325"/>
      <c r="B14" s="956"/>
      <c r="C14" s="21" t="s">
        <v>10</v>
      </c>
      <c r="D14" s="520"/>
      <c r="E14" s="521">
        <f>E13/E15</f>
        <v>0.20917909246527311</v>
      </c>
      <c r="F14" s="521">
        <f>F13/F15</f>
        <v>0.20596575704594969</v>
      </c>
      <c r="G14" s="521">
        <f>G13/G15</f>
        <v>0.20339456500871295</v>
      </c>
      <c r="H14" s="539">
        <f t="shared" si="0"/>
        <v>0.20617980483997855</v>
      </c>
      <c r="I14" s="521">
        <f>I13/I15</f>
        <v>0.20503046946383618</v>
      </c>
      <c r="J14" s="521">
        <f>J13/J15</f>
        <v>0.2001030236447417</v>
      </c>
      <c r="K14" s="521">
        <f>K13/K15</f>
        <v>0.20526742390860234</v>
      </c>
      <c r="L14" s="492">
        <f>SUM(I13:K13)/SUM(I15:K15)</f>
        <v>0.20348688238178067</v>
      </c>
      <c r="M14" s="521">
        <f>M13/M15</f>
        <v>0.20152403340519609</v>
      </c>
      <c r="N14" s="521">
        <f t="shared" ref="N14:O14" si="2">N13/N15</f>
        <v>0.20083831152409096</v>
      </c>
      <c r="O14" s="521">
        <f t="shared" si="2"/>
        <v>0.20431313840504697</v>
      </c>
      <c r="P14" s="539">
        <f>SUM(M13:O13)/SUM(M15:O15)</f>
        <v>0.20221333803482816</v>
      </c>
      <c r="Q14" s="513">
        <f>Q13/Q15</f>
        <v>0.20357536462036768</v>
      </c>
      <c r="R14" s="513">
        <f>R13/R15</f>
        <v>0.20812996518973939</v>
      </c>
      <c r="S14" s="513">
        <f>S13/S15</f>
        <v>0.20609996357593599</v>
      </c>
      <c r="T14" s="539">
        <f>SUM(Q13:S13)/SUM(Q15:S15)</f>
        <v>0.2058566445490852</v>
      </c>
      <c r="U14" s="565" t="s">
        <v>11</v>
      </c>
      <c r="V14" s="566">
        <f>U13/U15</f>
        <v>0.20445100981795264</v>
      </c>
      <c r="W14" s="233"/>
      <c r="X14" s="233"/>
    </row>
    <row r="15" spans="1:24" ht="30" customHeight="1" x14ac:dyDescent="0.25">
      <c r="A15" s="593" t="s">
        <v>17</v>
      </c>
      <c r="B15" s="522" t="s">
        <v>13</v>
      </c>
      <c r="C15" s="522" t="s">
        <v>8</v>
      </c>
      <c r="D15" s="523" t="s">
        <v>9</v>
      </c>
      <c r="E15" s="524">
        <f>E17+E19</f>
        <v>320988.35599999997</v>
      </c>
      <c r="F15" s="524">
        <f>F17+F19</f>
        <v>284147.03900000005</v>
      </c>
      <c r="G15" s="524">
        <f>G17+G19</f>
        <v>306806.674</v>
      </c>
      <c r="H15" s="542">
        <f t="shared" si="0"/>
        <v>303980.68966666667</v>
      </c>
      <c r="I15" s="524">
        <f>I17+I19</f>
        <v>322563.93</v>
      </c>
      <c r="J15" s="524">
        <f>J17+J19</f>
        <v>307160.55599999998</v>
      </c>
      <c r="K15" s="524">
        <f>K17+K19</f>
        <v>304111.08500000002</v>
      </c>
      <c r="L15" s="550">
        <f>AVERAGE(I15:K15)</f>
        <v>311278.52366666665</v>
      </c>
      <c r="M15" s="524">
        <f>M17+M19</f>
        <v>338837.58600000001</v>
      </c>
      <c r="N15" s="524">
        <f t="shared" ref="N15:O15" si="3">N17+N19</f>
        <v>314820.19800000003</v>
      </c>
      <c r="O15" s="524">
        <f t="shared" si="3"/>
        <v>317386.56900000002</v>
      </c>
      <c r="P15" s="542">
        <f>AVERAGE(M15:O15)</f>
        <v>323681.451</v>
      </c>
      <c r="Q15" s="524">
        <f>Q17+Q19</f>
        <v>354802.86200000002</v>
      </c>
      <c r="R15" s="524">
        <f>R17+R19</f>
        <v>317666.10800000001</v>
      </c>
      <c r="S15" s="524">
        <f>S17+S19</f>
        <v>358573.38699999999</v>
      </c>
      <c r="T15" s="542">
        <f>AVERAGE(Q15:S15)</f>
        <v>343680.78566666663</v>
      </c>
      <c r="U15" s="567">
        <f>SUM(E15:G15,I15:K15,M15:O15,Q15:S15)</f>
        <v>3847864.3500000006</v>
      </c>
      <c r="V15" s="567">
        <f>AVERAGE(E15:G15,I15:K15,M15:O15,Q15:S15)</f>
        <v>320655.36250000005</v>
      </c>
      <c r="W15" s="317"/>
      <c r="X15" s="233"/>
    </row>
    <row r="16" spans="1:24" ht="30" customHeight="1" x14ac:dyDescent="0.25">
      <c r="A16" s="593"/>
      <c r="B16" s="525" t="s">
        <v>14</v>
      </c>
      <c r="C16" s="525" t="s">
        <v>15</v>
      </c>
      <c r="D16" s="504" t="s">
        <v>9</v>
      </c>
      <c r="E16" s="496">
        <f>E15/E7</f>
        <v>14590.379818181817</v>
      </c>
      <c r="F16" s="496">
        <f>F15/F7</f>
        <v>14207.351950000002</v>
      </c>
      <c r="G16" s="496">
        <f>G15/G7</f>
        <v>14609.841619047618</v>
      </c>
      <c r="H16" s="543">
        <f>SUM(E15:G15)/SUM(E7:G7)</f>
        <v>14475.270936507937</v>
      </c>
      <c r="I16" s="496">
        <f>I15/I7</f>
        <v>15360.187142857143</v>
      </c>
      <c r="J16" s="496">
        <f>J15/J7</f>
        <v>15358.0278</v>
      </c>
      <c r="K16" s="496">
        <f>K15/K7</f>
        <v>15205.554250000001</v>
      </c>
      <c r="L16" s="497">
        <f>SUM(I15:K15)/SUM(I7:K7)</f>
        <v>15308.779852459016</v>
      </c>
      <c r="M16" s="496">
        <f>M15/M7</f>
        <v>14732.06895652174</v>
      </c>
      <c r="N16" s="496">
        <f t="shared" ref="N16:O16" si="4">N15/N7</f>
        <v>14991.438000000002</v>
      </c>
      <c r="O16" s="496">
        <f t="shared" si="4"/>
        <v>15113.646142857144</v>
      </c>
      <c r="P16" s="543">
        <f>SUM(M15:O15)/SUM(M7:O7)</f>
        <v>14939.143892307693</v>
      </c>
      <c r="Q16" s="496">
        <f>Q15/Q7</f>
        <v>15426.211391304349</v>
      </c>
      <c r="R16" s="496">
        <f>R15/R7</f>
        <v>16719.268842105263</v>
      </c>
      <c r="S16" s="496">
        <f>S15/S7</f>
        <v>17928.66935</v>
      </c>
      <c r="T16" s="543">
        <f>SUM(Q15:S15)/SUM(Q7:S7)</f>
        <v>16629.715435483871</v>
      </c>
      <c r="U16" s="568" t="s">
        <v>11</v>
      </c>
      <c r="V16" s="569">
        <f>U15/U7</f>
        <v>15330.136852589643</v>
      </c>
      <c r="W16" s="233"/>
      <c r="X16" s="233"/>
    </row>
    <row r="17" spans="1:24" s="27" customFormat="1" ht="40.5" customHeight="1" x14ac:dyDescent="0.35">
      <c r="A17" s="591"/>
      <c r="B17" s="526" t="s">
        <v>36</v>
      </c>
      <c r="C17" s="23" t="s">
        <v>8</v>
      </c>
      <c r="D17" s="507" t="s">
        <v>9</v>
      </c>
      <c r="E17" s="200">
        <f>E9+E11+E13</f>
        <v>319674.64299999998</v>
      </c>
      <c r="F17" s="200">
        <f>F9+F11+F13</f>
        <v>282899.50900000002</v>
      </c>
      <c r="G17" s="200">
        <f>G9+G11+G13</f>
        <v>305452.03399999999</v>
      </c>
      <c r="H17" s="538">
        <f>AVERAGE(E17:G17)</f>
        <v>302675.39533333335</v>
      </c>
      <c r="I17" s="200">
        <f>I9+I11+I13</f>
        <v>321102.696</v>
      </c>
      <c r="J17" s="200">
        <f>J9+J11+J13</f>
        <v>305753.21399999998</v>
      </c>
      <c r="K17" s="200">
        <f>K9+K11+K13</f>
        <v>302780.06</v>
      </c>
      <c r="L17" s="493">
        <f>AVERAGE(I17:K17)</f>
        <v>309878.65666666668</v>
      </c>
      <c r="M17" s="200">
        <f>M9+M11+M13</f>
        <v>337326.663</v>
      </c>
      <c r="N17" s="200">
        <v>313505.11900000001</v>
      </c>
      <c r="O17" s="200">
        <v>316001.79800000001</v>
      </c>
      <c r="P17" s="538">
        <f>AVERAGE(M17:O17)</f>
        <v>322277.86000000004</v>
      </c>
      <c r="Q17" s="508">
        <v>353373.21600000001</v>
      </c>
      <c r="R17" s="508">
        <v>316329.91600000003</v>
      </c>
      <c r="S17" s="508">
        <v>357105.34100000001</v>
      </c>
      <c r="T17" s="538">
        <f>AVERAGE(Q17:S17)</f>
        <v>342269.49099999998</v>
      </c>
      <c r="U17" s="558">
        <f>SUM(E17:G17,I17:K17,M17:O17,Q17:S17)</f>
        <v>3831304.2090000003</v>
      </c>
      <c r="V17" s="558">
        <f>AVERAGE(E17:G17,I17:K17,M17:O17,Q18,Q18,Q17,Q17:S17)</f>
        <v>278978.62779607874</v>
      </c>
      <c r="W17" s="234"/>
      <c r="X17" s="234"/>
    </row>
    <row r="18" spans="1:24" s="25" customFormat="1" ht="30" customHeight="1" x14ac:dyDescent="0.25">
      <c r="A18" s="592"/>
      <c r="B18" s="527" t="s">
        <v>32</v>
      </c>
      <c r="C18" s="20" t="s">
        <v>10</v>
      </c>
      <c r="D18" s="520"/>
      <c r="E18" s="521">
        <f>E17/E15</f>
        <v>0.99590728767743841</v>
      </c>
      <c r="F18" s="521">
        <f>F17/F15</f>
        <v>0.99560956185082738</v>
      </c>
      <c r="G18" s="521">
        <f>G17/G15</f>
        <v>0.99558471143297222</v>
      </c>
      <c r="H18" s="539">
        <f>AVERAGE(E18:G18)</f>
        <v>0.99570052032041267</v>
      </c>
      <c r="I18" s="521">
        <f>I17/I15</f>
        <v>0.99546993986587406</v>
      </c>
      <c r="J18" s="521">
        <f>J17/J15</f>
        <v>0.99541822030039562</v>
      </c>
      <c r="K18" s="521">
        <f>K17/K15</f>
        <v>0.99562322761105526</v>
      </c>
      <c r="L18" s="492">
        <f>SUM(I17:K17)/SUM(I15:K15)</f>
        <v>0.99550284747077811</v>
      </c>
      <c r="M18" s="521">
        <f>M17/M15</f>
        <v>0.99554086363960814</v>
      </c>
      <c r="N18" s="521">
        <f t="shared" ref="N18:O18" si="5">N17/N15</f>
        <v>0.99582276166410377</v>
      </c>
      <c r="O18" s="521">
        <f t="shared" si="5"/>
        <v>0.99563695778191541</v>
      </c>
      <c r="P18" s="539">
        <f>SUM(M17:O17)/SUM(M15:O15)</f>
        <v>0.99566366563278919</v>
      </c>
      <c r="Q18" s="513">
        <f>Q17/Q15</f>
        <v>0.99597059056417647</v>
      </c>
      <c r="R18" s="513">
        <f>R17/R15</f>
        <v>0.99579372187857074</v>
      </c>
      <c r="S18" s="513">
        <f>S17/S15</f>
        <v>0.99590587016989085</v>
      </c>
      <c r="T18" s="539">
        <f>SUM(Q17:S17)/SUM(Q15:S15)</f>
        <v>0.99589358868599809</v>
      </c>
      <c r="U18" s="565" t="s">
        <v>11</v>
      </c>
      <c r="V18" s="566">
        <f>U17/U15</f>
        <v>0.99569627733888277</v>
      </c>
      <c r="W18" s="235"/>
      <c r="X18" s="235"/>
    </row>
    <row r="19" spans="1:24" s="27" customFormat="1" ht="40.5" customHeight="1" x14ac:dyDescent="0.35">
      <c r="A19" s="594"/>
      <c r="B19" s="528" t="s">
        <v>36</v>
      </c>
      <c r="C19" s="514" t="s">
        <v>8</v>
      </c>
      <c r="D19" s="515" t="s">
        <v>9</v>
      </c>
      <c r="E19" s="495">
        <v>1313.713</v>
      </c>
      <c r="F19" s="495">
        <v>1247.53</v>
      </c>
      <c r="G19" s="495">
        <v>1354.64</v>
      </c>
      <c r="H19" s="540">
        <f>AVERAGE(E19:G19)</f>
        <v>1305.2943333333333</v>
      </c>
      <c r="I19" s="495">
        <v>1461.2339999999999</v>
      </c>
      <c r="J19" s="495">
        <v>1407.3420000000001</v>
      </c>
      <c r="K19" s="495">
        <v>1331.0250000000001</v>
      </c>
      <c r="L19" s="494">
        <f>AVERAGE(I19:K19)</f>
        <v>1399.8670000000002</v>
      </c>
      <c r="M19" s="600">
        <v>1510.923</v>
      </c>
      <c r="N19" s="516">
        <v>1315.079</v>
      </c>
      <c r="O19" s="516">
        <v>1384.771</v>
      </c>
      <c r="P19" s="540">
        <f>AVERAGE(M19:O19)</f>
        <v>1403.5910000000001</v>
      </c>
      <c r="Q19" s="495">
        <v>1429.646</v>
      </c>
      <c r="R19" s="495">
        <v>1336.192</v>
      </c>
      <c r="S19" s="495">
        <v>1468.046</v>
      </c>
      <c r="T19" s="540">
        <f>AVERAGE(Q19:S19)</f>
        <v>1411.2946666666667</v>
      </c>
      <c r="U19" s="562">
        <f>SUM(E19:G19,I19:K19,M19:O19,Q19:S19)</f>
        <v>16560.141</v>
      </c>
      <c r="V19" s="562">
        <f>AVERAGE(E19:G19,I19:K19,M19:O19,Q19:S19)</f>
        <v>1380.0117499999999</v>
      </c>
      <c r="W19" s="234"/>
      <c r="X19" s="234"/>
    </row>
    <row r="20" spans="1:24" s="25" customFormat="1" ht="30" customHeight="1" x14ac:dyDescent="0.25">
      <c r="A20" s="595"/>
      <c r="B20" s="529" t="s">
        <v>31</v>
      </c>
      <c r="C20" s="530" t="s">
        <v>10</v>
      </c>
      <c r="D20" s="518"/>
      <c r="E20" s="519">
        <f>E19/E15</f>
        <v>4.092712322561632E-3</v>
      </c>
      <c r="F20" s="519">
        <f>F19/F15</f>
        <v>4.3904381491724773E-3</v>
      </c>
      <c r="G20" s="519">
        <f>G19/G15</f>
        <v>4.415288567027718E-3</v>
      </c>
      <c r="H20" s="541">
        <f>AVERAGE(E20:G20)</f>
        <v>4.2994796795872755E-3</v>
      </c>
      <c r="I20" s="519">
        <f>I19/I15</f>
        <v>4.5300601341259697E-3</v>
      </c>
      <c r="J20" s="519">
        <f>J19/J15</f>
        <v>4.581779699604399E-3</v>
      </c>
      <c r="K20" s="519">
        <f>K19/K15</f>
        <v>4.3767723889446518E-3</v>
      </c>
      <c r="L20" s="491">
        <f>SUM(I19:K19)/SUM(I15:K15)</f>
        <v>4.4971525292218711E-3</v>
      </c>
      <c r="M20" s="519">
        <f>M19/M15</f>
        <v>4.4591363603918481E-3</v>
      </c>
      <c r="N20" s="519">
        <f t="shared" ref="N20:O20" si="6">N19/N15</f>
        <v>4.1772383358960972E-3</v>
      </c>
      <c r="O20" s="519">
        <f t="shared" si="6"/>
        <v>4.3630422180845332E-3</v>
      </c>
      <c r="P20" s="541">
        <f>SUM(M19:O19)/SUM(M15:O15)</f>
        <v>4.3363343672109282E-3</v>
      </c>
      <c r="Q20" s="519">
        <f>Q19/Q15</f>
        <v>4.0294094358235468E-3</v>
      </c>
      <c r="R20" s="519">
        <f>R19/R15</f>
        <v>4.2062781214293092E-3</v>
      </c>
      <c r="S20" s="519">
        <f>S19/S15</f>
        <v>4.0941298301092272E-3</v>
      </c>
      <c r="T20" s="541">
        <f>SUM(Q19:S19)/SUM(Q15:S15)</f>
        <v>4.1064113140019138E-3</v>
      </c>
      <c r="U20" s="570" t="s">
        <v>11</v>
      </c>
      <c r="V20" s="564">
        <f>U19/U15</f>
        <v>4.3037226611171977E-3</v>
      </c>
      <c r="W20" s="235"/>
      <c r="X20" s="235"/>
    </row>
    <row r="21" spans="1:24" ht="30" customHeight="1" x14ac:dyDescent="0.25">
      <c r="A21" s="325" t="s">
        <v>24</v>
      </c>
      <c r="B21" s="119" t="s">
        <v>37</v>
      </c>
      <c r="C21" s="119" t="s">
        <v>19</v>
      </c>
      <c r="D21" s="332" t="s">
        <v>16</v>
      </c>
      <c r="E21" s="218">
        <f>E23+E25</f>
        <v>125566.84600000001</v>
      </c>
      <c r="F21" s="218">
        <f>F23+F25</f>
        <v>119805.7</v>
      </c>
      <c r="G21" s="218">
        <f>G23+G25</f>
        <v>129678.3</v>
      </c>
      <c r="H21" s="544">
        <f>AVERAGE(E21:G21)</f>
        <v>125016.94866666668</v>
      </c>
      <c r="I21" s="218">
        <f>I23+I25</f>
        <v>130427.201</v>
      </c>
      <c r="J21" s="218">
        <f>J23+J25</f>
        <v>124717.235</v>
      </c>
      <c r="K21" s="218">
        <f>K23+K25</f>
        <v>122258.321</v>
      </c>
      <c r="L21" s="499">
        <f>AVERAGE(I21:K21)</f>
        <v>125800.91899999999</v>
      </c>
      <c r="M21" s="218">
        <f>M23+M25</f>
        <v>133366.704</v>
      </c>
      <c r="N21" s="218">
        <f t="shared" ref="N21:O21" si="7">N23+N25</f>
        <v>120340.13</v>
      </c>
      <c r="O21" s="218">
        <f t="shared" si="7"/>
        <v>124998.719</v>
      </c>
      <c r="P21" s="544">
        <f>AVERAGE(M21:O21)</f>
        <v>126235.18433333334</v>
      </c>
      <c r="Q21" s="531">
        <f>Q23+Q25</f>
        <v>135399.35</v>
      </c>
      <c r="R21" s="531">
        <f>R23+R25</f>
        <v>124353.16800000001</v>
      </c>
      <c r="S21" s="531">
        <f>S23+S25</f>
        <v>136964.17500000002</v>
      </c>
      <c r="T21" s="544">
        <f>AVERAGE(Q21:S21)</f>
        <v>132238.89766666669</v>
      </c>
      <c r="U21" s="571">
        <f>SUM(E21:G21,I21:K21,M21:O21,Q21:S21)</f>
        <v>1527875.8490000002</v>
      </c>
      <c r="V21" s="572">
        <f>AVERAGE(E21:G21,I21:K21,M21:O21,Q21:S21)</f>
        <v>127322.98741666669</v>
      </c>
      <c r="W21" s="233"/>
      <c r="X21" s="233"/>
    </row>
    <row r="22" spans="1:24" ht="30" customHeight="1" x14ac:dyDescent="0.25">
      <c r="A22" s="325"/>
      <c r="B22" s="2" t="s">
        <v>14</v>
      </c>
      <c r="C22" s="2" t="s">
        <v>38</v>
      </c>
      <c r="D22" s="326" t="s">
        <v>16</v>
      </c>
      <c r="E22" s="221">
        <f>E21/E7</f>
        <v>5707.5839090909094</v>
      </c>
      <c r="F22" s="221">
        <f>F21/F7</f>
        <v>5990.2849999999999</v>
      </c>
      <c r="G22" s="221">
        <f>G21/G7</f>
        <v>6175.1571428571433</v>
      </c>
      <c r="H22" s="545">
        <f>SUM(E21:G21)/SUM(E7:G7)</f>
        <v>5953.1880317460318</v>
      </c>
      <c r="I22" s="221">
        <f>I21/I7</f>
        <v>6210.8190952380955</v>
      </c>
      <c r="J22" s="221">
        <f>J21/J7</f>
        <v>6235.86175</v>
      </c>
      <c r="K22" s="221">
        <f>K21/K7</f>
        <v>6112.9160499999998</v>
      </c>
      <c r="L22" s="551">
        <f>SUM(I21:K21)/SUM(I7:K7)</f>
        <v>6186.930442622951</v>
      </c>
      <c r="M22" s="221">
        <f>M21/M7</f>
        <v>5798.5523478260866</v>
      </c>
      <c r="N22" s="221">
        <f t="shared" ref="N22:O22" si="8">N21/N7</f>
        <v>5730.4823809523814</v>
      </c>
      <c r="O22" s="221">
        <f t="shared" si="8"/>
        <v>5952.3199523809526</v>
      </c>
      <c r="P22" s="545">
        <f>SUM(M21:O21)/SUM(M7:O7)</f>
        <v>5826.2392769230773</v>
      </c>
      <c r="Q22" s="532">
        <f>Q21/Q7</f>
        <v>5886.9282608695657</v>
      </c>
      <c r="R22" s="532">
        <f>R21/R7</f>
        <v>6544.9035789473683</v>
      </c>
      <c r="S22" s="532">
        <f>S21/S7</f>
        <v>6848.2087500000007</v>
      </c>
      <c r="T22" s="545">
        <f>SUM(Q21:S21)/SUM(Q7:S7)</f>
        <v>6398.6563387096776</v>
      </c>
      <c r="U22" s="573" t="s">
        <v>11</v>
      </c>
      <c r="V22" s="574">
        <f>U21/U7</f>
        <v>6087.1547768924311</v>
      </c>
      <c r="W22" s="233"/>
      <c r="X22" s="233"/>
    </row>
    <row r="23" spans="1:24" s="27" customFormat="1" ht="42.75" customHeight="1" x14ac:dyDescent="0.35">
      <c r="A23" s="594"/>
      <c r="B23" s="528" t="s">
        <v>36</v>
      </c>
      <c r="C23" s="514" t="s">
        <v>19</v>
      </c>
      <c r="D23" s="515" t="s">
        <v>16</v>
      </c>
      <c r="E23" s="495">
        <v>123818.08</v>
      </c>
      <c r="F23" s="495">
        <v>118149.7</v>
      </c>
      <c r="G23" s="495">
        <v>127938.6</v>
      </c>
      <c r="H23" s="540">
        <f>AVERAGE(E23:G23)</f>
        <v>123302.12666666666</v>
      </c>
      <c r="I23" s="495">
        <v>128641.121</v>
      </c>
      <c r="J23" s="495">
        <v>122937.95</v>
      </c>
      <c r="K23" s="495">
        <v>120610.678</v>
      </c>
      <c r="L23" s="494">
        <f>AVERAGE(I23:K23)</f>
        <v>124063.24966666667</v>
      </c>
      <c r="M23" s="516">
        <v>131528.079</v>
      </c>
      <c r="N23" s="516">
        <v>118679.65700000001</v>
      </c>
      <c r="O23" s="516">
        <v>123281.726</v>
      </c>
      <c r="P23" s="540">
        <f>+AVERAGE(M23:O23)</f>
        <v>124496.48733333334</v>
      </c>
      <c r="Q23" s="495">
        <v>133607.85500000001</v>
      </c>
      <c r="R23" s="495">
        <v>122742.30100000001</v>
      </c>
      <c r="S23" s="495">
        <v>135160.50200000001</v>
      </c>
      <c r="T23" s="540">
        <f>+AVERAGE(Q23:S23)</f>
        <v>130503.55266666668</v>
      </c>
      <c r="U23" s="562">
        <f>SUM(E23:G23,I23:K23,M23:O23,Q23:S23)</f>
        <v>1507096.2490000001</v>
      </c>
      <c r="V23" s="562">
        <f>AVERAGE(E23:G23,I23:K23,L23:O24)</f>
        <v>88546.627538094908</v>
      </c>
      <c r="W23" s="234"/>
      <c r="X23" s="234"/>
    </row>
    <row r="24" spans="1:24" s="25" customFormat="1" ht="30" customHeight="1" x14ac:dyDescent="0.25">
      <c r="A24" s="595"/>
      <c r="B24" s="529" t="s">
        <v>32</v>
      </c>
      <c r="C24" s="530" t="s">
        <v>21</v>
      </c>
      <c r="D24" s="518"/>
      <c r="E24" s="519">
        <f>E23/E21</f>
        <v>0.98607302758882709</v>
      </c>
      <c r="F24" s="519">
        <f>F23/F21</f>
        <v>0.98617761926185477</v>
      </c>
      <c r="G24" s="519">
        <f>G23/G21</f>
        <v>0.98658449409037596</v>
      </c>
      <c r="H24" s="541">
        <f>SUM(E23:G23)/SUM(E21:G21)</f>
        <v>0.98628328384039954</v>
      </c>
      <c r="I24" s="519">
        <f>I23/I21</f>
        <v>0.98630592402270445</v>
      </c>
      <c r="J24" s="519">
        <f>J23/J21</f>
        <v>0.98573344734591006</v>
      </c>
      <c r="K24" s="519">
        <f>K23/K21</f>
        <v>0.98652326494815845</v>
      </c>
      <c r="L24" s="491">
        <f>SUM(I23:K23)/SUM(I21:K21)</f>
        <v>0.98618714913097472</v>
      </c>
      <c r="M24" s="519">
        <f>M23/M21</f>
        <v>0.98621376291941654</v>
      </c>
      <c r="N24" s="519">
        <f t="shared" ref="N24:O24" si="9">N23/N21</f>
        <v>0.98620183474955525</v>
      </c>
      <c r="O24" s="519">
        <f t="shared" si="9"/>
        <v>0.98626391523260326</v>
      </c>
      <c r="P24" s="541">
        <f>SUM(M23:O23)/SUM(M21:O21)</f>
        <v>0.98622652623210938</v>
      </c>
      <c r="Q24" s="519">
        <f>Q23/Q21</f>
        <v>0.98676880649722476</v>
      </c>
      <c r="R24" s="519">
        <f>R23/R21</f>
        <v>0.98704603167005767</v>
      </c>
      <c r="S24" s="519">
        <f>S23/S21</f>
        <v>0.98683106001989196</v>
      </c>
      <c r="T24" s="541">
        <f>SUM(Q23:S23)/SUM(Q21:S21)</f>
        <v>0.98687719702281351</v>
      </c>
      <c r="U24" s="575" t="s">
        <v>11</v>
      </c>
      <c r="V24" s="564">
        <f>U23/U21</f>
        <v>0.98639968030543812</v>
      </c>
      <c r="W24" s="235"/>
      <c r="X24" s="236"/>
    </row>
    <row r="25" spans="1:24" s="27" customFormat="1" ht="37.5" customHeight="1" x14ac:dyDescent="0.35">
      <c r="A25" s="591"/>
      <c r="B25" s="526" t="s">
        <v>36</v>
      </c>
      <c r="C25" s="23" t="s">
        <v>19</v>
      </c>
      <c r="D25" s="507" t="s">
        <v>16</v>
      </c>
      <c r="E25" s="444">
        <v>1748.7660000000001</v>
      </c>
      <c r="F25" s="444">
        <v>1656</v>
      </c>
      <c r="G25" s="444">
        <v>1739.7</v>
      </c>
      <c r="H25" s="538">
        <f>AVERAGE(E25:G25)</f>
        <v>1714.8220000000001</v>
      </c>
      <c r="I25" s="444">
        <v>1786.08</v>
      </c>
      <c r="J25" s="444">
        <v>1779.2850000000001</v>
      </c>
      <c r="K25" s="444">
        <v>1647.643</v>
      </c>
      <c r="L25" s="493">
        <f>AVERAGE(I25:K25)</f>
        <v>1737.6693333333333</v>
      </c>
      <c r="M25" s="444">
        <v>1838.625</v>
      </c>
      <c r="N25" s="200">
        <v>1660.473</v>
      </c>
      <c r="O25" s="200">
        <v>1716.9929999999999</v>
      </c>
      <c r="P25" s="538">
        <f>AVERAGE(M25:O25)</f>
        <v>1738.6970000000001</v>
      </c>
      <c r="Q25" s="508">
        <v>1791.4949999999999</v>
      </c>
      <c r="R25" s="508">
        <v>1610.867</v>
      </c>
      <c r="S25" s="508">
        <v>1803.673</v>
      </c>
      <c r="T25" s="538">
        <f>AVERAGE(Q25:S25)</f>
        <v>1735.345</v>
      </c>
      <c r="U25" s="558">
        <f>SUM(E25:G25,I25:K25,M25:O25,Q25:S25)</f>
        <v>20779.599999999999</v>
      </c>
      <c r="V25" s="576">
        <f>AVERAGE(E25:G25,I25:K25,M25:O25,Q25:S25)</f>
        <v>1731.6333333333332</v>
      </c>
      <c r="W25" s="234"/>
      <c r="X25" s="234"/>
    </row>
    <row r="26" spans="1:24" s="25" customFormat="1" ht="30" customHeight="1" x14ac:dyDescent="0.25">
      <c r="A26" s="592"/>
      <c r="B26" s="527" t="s">
        <v>31</v>
      </c>
      <c r="C26" s="20" t="s">
        <v>21</v>
      </c>
      <c r="D26" s="520"/>
      <c r="E26" s="521">
        <f>E25/E21</f>
        <v>1.392697241117293E-2</v>
      </c>
      <c r="F26" s="521">
        <f>F25/F21</f>
        <v>1.3822380738145181E-2</v>
      </c>
      <c r="G26" s="521">
        <f>G25/G21</f>
        <v>1.3415505909624047E-2</v>
      </c>
      <c r="H26" s="539">
        <f>SUM(E25:G25)/SUM(E21:G21)</f>
        <v>1.3716716159600397E-2</v>
      </c>
      <c r="I26" s="521">
        <f>I25/I21</f>
        <v>1.3694075977295564E-2</v>
      </c>
      <c r="J26" s="521">
        <f>J25/J21</f>
        <v>1.4266552654089871E-2</v>
      </c>
      <c r="K26" s="521">
        <f>K25/K21</f>
        <v>1.3476735051841585E-2</v>
      </c>
      <c r="L26" s="492">
        <f>SUM(I25:K25)/SUM(I21:K21)</f>
        <v>1.3812850869025315E-2</v>
      </c>
      <c r="M26" s="521">
        <f>M25/M21</f>
        <v>1.3786237080583472E-2</v>
      </c>
      <c r="N26" s="521">
        <f t="shared" ref="N26:O26" si="10">N25/N21</f>
        <v>1.3798165250444718E-2</v>
      </c>
      <c r="O26" s="521">
        <f t="shared" si="10"/>
        <v>1.3736084767396696E-2</v>
      </c>
      <c r="P26" s="539">
        <f>SUM(M25:O25)/SUM(M21:O21)</f>
        <v>1.3773473767890591E-2</v>
      </c>
      <c r="Q26" s="513">
        <f>Q25/Q21</f>
        <v>1.3231193502775308E-2</v>
      </c>
      <c r="R26" s="513">
        <f>R25/R21</f>
        <v>1.2953968329942346E-2</v>
      </c>
      <c r="S26" s="513">
        <f>S25/S21</f>
        <v>1.3168939980107935E-2</v>
      </c>
      <c r="T26" s="539">
        <f>SUM(Q25:S25)/SUM(Q21:S21)</f>
        <v>1.3122802977186543E-2</v>
      </c>
      <c r="U26" s="577" t="s">
        <v>11</v>
      </c>
      <c r="V26" s="565">
        <f>U25/U21</f>
        <v>1.3600319694561777E-2</v>
      </c>
      <c r="W26" s="235"/>
      <c r="X26" s="235"/>
    </row>
    <row r="27" spans="1:24" ht="30" customHeight="1" x14ac:dyDescent="0.25">
      <c r="A27" s="593" t="s">
        <v>33</v>
      </c>
      <c r="B27" s="522" t="s">
        <v>34</v>
      </c>
      <c r="C27" s="525" t="s">
        <v>18</v>
      </c>
      <c r="D27" s="504"/>
      <c r="E27" s="533">
        <v>1783</v>
      </c>
      <c r="F27" s="533">
        <v>1672</v>
      </c>
      <c r="G27" s="533">
        <v>1672</v>
      </c>
      <c r="H27" s="546">
        <f>AVERAGE(E27:G27)</f>
        <v>1709</v>
      </c>
      <c r="I27" s="533">
        <v>1674</v>
      </c>
      <c r="J27" s="533">
        <v>1674</v>
      </c>
      <c r="K27" s="533">
        <v>1660</v>
      </c>
      <c r="L27" s="552">
        <f>AVERAGE(I27:K27)</f>
        <v>1669.3333333333333</v>
      </c>
      <c r="M27" s="533">
        <v>1658</v>
      </c>
      <c r="N27" s="533">
        <v>1658</v>
      </c>
      <c r="O27" s="533">
        <v>1657</v>
      </c>
      <c r="P27" s="546">
        <f>AVERAGE(M27:O27)</f>
        <v>1657.6666666666667</v>
      </c>
      <c r="Q27" s="534">
        <v>1657</v>
      </c>
      <c r="R27" s="534">
        <v>1657</v>
      </c>
      <c r="S27" s="534">
        <v>1657</v>
      </c>
      <c r="T27" s="546">
        <f>AVERAGE(Q27:S27)</f>
        <v>1657</v>
      </c>
      <c r="U27" s="578" t="s">
        <v>11</v>
      </c>
      <c r="V27" s="579">
        <f>AVERAGE(E27:G27,I27:K27,M27:O27,Q27:S27)</f>
        <v>1673.25</v>
      </c>
      <c r="W27" s="233"/>
      <c r="X27" s="233"/>
    </row>
    <row r="28" spans="1:24" ht="30" customHeight="1" x14ac:dyDescent="0.25">
      <c r="A28" s="331"/>
      <c r="B28" s="331"/>
      <c r="C28" s="119" t="s">
        <v>19</v>
      </c>
      <c r="D28" s="332" t="s">
        <v>16</v>
      </c>
      <c r="E28" s="218">
        <f>E21</f>
        <v>125566.84600000001</v>
      </c>
      <c r="F28" s="218">
        <f>F21</f>
        <v>119805.7</v>
      </c>
      <c r="G28" s="218">
        <f>G21</f>
        <v>129678.3</v>
      </c>
      <c r="H28" s="544">
        <f>AVERAGE(E28:G28)</f>
        <v>125016.94866666668</v>
      </c>
      <c r="I28" s="218">
        <f>I21</f>
        <v>130427.201</v>
      </c>
      <c r="J28" s="218">
        <f>J21</f>
        <v>124717.235</v>
      </c>
      <c r="K28" s="218">
        <f>K21</f>
        <v>122258.321</v>
      </c>
      <c r="L28" s="499">
        <f>AVERAGE(I28:J28)</f>
        <v>127572.21799999999</v>
      </c>
      <c r="M28" s="218">
        <f>M21</f>
        <v>133366.704</v>
      </c>
      <c r="N28" s="218">
        <f t="shared" ref="N28:O28" si="11">N21</f>
        <v>120340.13</v>
      </c>
      <c r="O28" s="218">
        <f t="shared" si="11"/>
        <v>124998.719</v>
      </c>
      <c r="P28" s="544">
        <f>AVERAGE(M28:O28)</f>
        <v>126235.18433333334</v>
      </c>
      <c r="Q28" s="531">
        <f>Q21</f>
        <v>135399.35</v>
      </c>
      <c r="R28" s="531">
        <f>R21</f>
        <v>124353.16800000001</v>
      </c>
      <c r="S28" s="531">
        <f>S21</f>
        <v>136964.17500000002</v>
      </c>
      <c r="T28" s="544">
        <f>AVERAGE(Q28:S28)</f>
        <v>132238.89766666669</v>
      </c>
      <c r="U28" s="571">
        <f>SUM(E28:G28,I28:K28,M28:O28,Q28:S28)</f>
        <v>1527875.8490000002</v>
      </c>
      <c r="V28" s="571">
        <f>AVERAGE(E28:G28,I28:K28,M28:O28,Q28:S28)</f>
        <v>127322.98741666669</v>
      </c>
      <c r="W28" s="233"/>
      <c r="X28" s="233"/>
    </row>
    <row r="29" spans="1:24" ht="30" customHeight="1" x14ac:dyDescent="0.25">
      <c r="A29" s="596"/>
      <c r="B29" s="535"/>
      <c r="C29" s="525" t="s">
        <v>20</v>
      </c>
      <c r="D29" s="504" t="s">
        <v>16</v>
      </c>
      <c r="E29" s="496">
        <f>E28/E7</f>
        <v>5707.5839090909094</v>
      </c>
      <c r="F29" s="496">
        <f>F28/E7</f>
        <v>5445.7136363636364</v>
      </c>
      <c r="G29" s="496">
        <f>G28/E7</f>
        <v>5894.4681818181816</v>
      </c>
      <c r="H29" s="543">
        <f>SUM(E28:G28)/SUM(E7:G7)</f>
        <v>5953.1880317460318</v>
      </c>
      <c r="I29" s="496">
        <f>I28/I7</f>
        <v>6210.8190952380955</v>
      </c>
      <c r="J29" s="496">
        <f>J28/J7</f>
        <v>6235.86175</v>
      </c>
      <c r="K29" s="496">
        <f>K28/K7</f>
        <v>6112.9160499999998</v>
      </c>
      <c r="L29" s="497">
        <f>SUM(I28:K28)/SUM(I7:K7)</f>
        <v>6186.930442622951</v>
      </c>
      <c r="M29" s="496">
        <f>M28/M7</f>
        <v>5798.5523478260866</v>
      </c>
      <c r="N29" s="496">
        <f t="shared" ref="N29:O29" si="12">N28/N7</f>
        <v>5730.4823809523814</v>
      </c>
      <c r="O29" s="496">
        <f t="shared" si="12"/>
        <v>5952.3199523809526</v>
      </c>
      <c r="P29" s="543">
        <f>SUM(M28:O28)/SUM(M7:O7)</f>
        <v>5826.2392769230773</v>
      </c>
      <c r="Q29" s="496">
        <f>Q28/Q7</f>
        <v>5886.9282608695657</v>
      </c>
      <c r="R29" s="496">
        <f>R28/R7</f>
        <v>6544.9035789473683</v>
      </c>
      <c r="S29" s="496">
        <f>S28/S7</f>
        <v>6848.2087500000007</v>
      </c>
      <c r="T29" s="543">
        <f>SUM(Q28:S28)/SUM(Q7:S7)</f>
        <v>6398.6563387096776</v>
      </c>
      <c r="U29" s="568" t="s">
        <v>11</v>
      </c>
      <c r="V29" s="569">
        <f>U28/U7</f>
        <v>6087.1547768924311</v>
      </c>
      <c r="W29" s="233"/>
      <c r="X29" s="233"/>
    </row>
    <row r="30" spans="1:24" ht="30" customHeight="1" x14ac:dyDescent="0.25">
      <c r="A30" s="331"/>
      <c r="B30" s="331"/>
      <c r="C30" s="2" t="s">
        <v>22</v>
      </c>
      <c r="D30" s="326" t="s">
        <v>219</v>
      </c>
      <c r="E30" s="221">
        <f>E31/E28*1000</f>
        <v>2556.3145545600464</v>
      </c>
      <c r="F30" s="221">
        <f>F31/F28*1000</f>
        <v>2371.7322214218525</v>
      </c>
      <c r="G30" s="221">
        <f>G31/G28*1000</f>
        <v>2365.9060459614293</v>
      </c>
      <c r="H30" s="545">
        <f>SUM(E31:G31)/SUM(E28:G28)*1000</f>
        <v>2431.5158297229918</v>
      </c>
      <c r="I30" s="221">
        <f>I31/I28*1000</f>
        <v>2473.1338825556795</v>
      </c>
      <c r="J30" s="221">
        <f>J31/J28*1000</f>
        <v>2462.8557231885393</v>
      </c>
      <c r="K30" s="221">
        <f>K31/K28*1000</f>
        <v>2487.4469280499934</v>
      </c>
      <c r="L30" s="551">
        <f>SUM(I31:K31)/SUM(I28:K28)*1000</f>
        <v>2474.3740041093552</v>
      </c>
      <c r="M30" s="221">
        <f>M31/M28*1000</f>
        <v>2540.6460221135853</v>
      </c>
      <c r="N30" s="221">
        <f>N31/N28*1000</f>
        <v>2616.0865706227842</v>
      </c>
      <c r="O30" s="221">
        <f>O31/O28*1000</f>
        <v>2539.1185728871351</v>
      </c>
      <c r="P30" s="545">
        <f>SUM(M31:O31)/SUM(M28:O28)*1000</f>
        <v>2564.1143767437702</v>
      </c>
      <c r="Q30" s="532">
        <f>Q31/Q28*1000</f>
        <v>2620.4177641916303</v>
      </c>
      <c r="R30" s="532">
        <f>R31/R28*1000</f>
        <v>2554.5477699450325</v>
      </c>
      <c r="S30" s="532">
        <f>S31/S28*1000</f>
        <v>2618.0085923928641</v>
      </c>
      <c r="T30" s="545">
        <f>SUM(Q31:S31)/SUM(Q28:S28)*1000</f>
        <v>2598.9386763717548</v>
      </c>
      <c r="U30" s="664" t="s">
        <v>11</v>
      </c>
      <c r="V30" s="603">
        <f>U31/U28*1000</f>
        <v>2518.4404560870835</v>
      </c>
      <c r="W30" s="233"/>
      <c r="X30" s="233"/>
    </row>
    <row r="31" spans="1:24" ht="30" customHeight="1" x14ac:dyDescent="0.25">
      <c r="A31" s="596"/>
      <c r="B31" s="535"/>
      <c r="C31" s="522" t="s">
        <v>26</v>
      </c>
      <c r="D31" s="523" t="s">
        <v>9</v>
      </c>
      <c r="E31" s="524">
        <f>E15</f>
        <v>320988.35599999997</v>
      </c>
      <c r="F31" s="524">
        <f>F15</f>
        <v>284147.03900000005</v>
      </c>
      <c r="G31" s="524">
        <f>G15</f>
        <v>306806.674</v>
      </c>
      <c r="H31" s="542">
        <f>AVERAGE(E31:G31)</f>
        <v>303980.68966666667</v>
      </c>
      <c r="I31" s="524">
        <f>I15</f>
        <v>322563.93</v>
      </c>
      <c r="J31" s="524">
        <f>J15</f>
        <v>307160.55599999998</v>
      </c>
      <c r="K31" s="524">
        <f>K15</f>
        <v>304111.08500000002</v>
      </c>
      <c r="L31" s="550">
        <f>AVERAGE(I31:K31)</f>
        <v>311278.52366666665</v>
      </c>
      <c r="M31" s="524">
        <f>M15</f>
        <v>338837.58600000001</v>
      </c>
      <c r="N31" s="524">
        <f t="shared" ref="N31:O31" si="13">N15</f>
        <v>314820.19800000003</v>
      </c>
      <c r="O31" s="524">
        <f t="shared" si="13"/>
        <v>317386.56900000002</v>
      </c>
      <c r="P31" s="542">
        <f>AVERAGE(M31:O31)</f>
        <v>323681.451</v>
      </c>
      <c r="Q31" s="524">
        <f>Q15</f>
        <v>354802.86200000002</v>
      </c>
      <c r="R31" s="524">
        <f>R15</f>
        <v>317666.10800000001</v>
      </c>
      <c r="S31" s="524">
        <f>S15</f>
        <v>358573.38699999999</v>
      </c>
      <c r="T31" s="542">
        <f>AVERAGE(Q31:S31)</f>
        <v>343680.78566666663</v>
      </c>
      <c r="U31" s="567">
        <f>SUM(E31:G31,I31:K31,M31:O31,Q31:S31)</f>
        <v>3847864.3500000006</v>
      </c>
      <c r="V31" s="567">
        <f>AVERAGE(E31:G31,I31:K31,M31:O31,Q31:S31)</f>
        <v>320655.36250000005</v>
      </c>
      <c r="W31" s="233"/>
      <c r="X31" s="233"/>
    </row>
    <row r="32" spans="1:24" ht="33" customHeight="1" thickBot="1" x14ac:dyDescent="0.3">
      <c r="A32" s="331"/>
      <c r="B32" s="331"/>
      <c r="C32" s="2" t="s">
        <v>20</v>
      </c>
      <c r="D32" s="326" t="s">
        <v>9</v>
      </c>
      <c r="E32" s="221">
        <f>E31/E7</f>
        <v>14590.379818181817</v>
      </c>
      <c r="F32" s="221">
        <f>F31/F7</f>
        <v>14207.351950000002</v>
      </c>
      <c r="G32" s="221">
        <f>G31/G7</f>
        <v>14609.841619047618</v>
      </c>
      <c r="H32" s="547">
        <f>SUM(E31:G31)/SUM(E7:G7)</f>
        <v>14475.270936507937</v>
      </c>
      <c r="I32" s="221">
        <f>I31/I7</f>
        <v>15360.187142857143</v>
      </c>
      <c r="J32" s="221">
        <f>J31/J7</f>
        <v>15358.0278</v>
      </c>
      <c r="K32" s="221">
        <f>K31/K7</f>
        <v>15205.554250000001</v>
      </c>
      <c r="L32" s="498">
        <f>SUM(I31:K31)/SUM(I7:K7)</f>
        <v>15308.779852459016</v>
      </c>
      <c r="M32" s="221">
        <f>M31/M7</f>
        <v>14732.06895652174</v>
      </c>
      <c r="N32" s="221">
        <f>N31/N7</f>
        <v>14991.438000000002</v>
      </c>
      <c r="O32" s="221">
        <f>O31/O7</f>
        <v>15113.646142857144</v>
      </c>
      <c r="P32" s="547">
        <f>SUM(M31:O31)/SUM(M7:O7)</f>
        <v>14939.143892307693</v>
      </c>
      <c r="Q32" s="532">
        <f>Q31/Q7</f>
        <v>15426.211391304349</v>
      </c>
      <c r="R32" s="532">
        <f>R31/R7</f>
        <v>16719.268842105263</v>
      </c>
      <c r="S32" s="532">
        <f>S31/S7</f>
        <v>17928.66935</v>
      </c>
      <c r="T32" s="547">
        <f>SUM(Q31:S31)/SUM(Q7:S7)</f>
        <v>16629.715435483871</v>
      </c>
      <c r="U32" s="573" t="s">
        <v>11</v>
      </c>
      <c r="V32" s="581">
        <f>U31/U7</f>
        <v>15330.136852589643</v>
      </c>
      <c r="W32" s="233"/>
      <c r="X32" s="233"/>
    </row>
    <row r="33" spans="1:24" s="135" customFormat="1" ht="30" customHeight="1" x14ac:dyDescent="0.25">
      <c r="A33" s="325"/>
      <c r="B33" s="119"/>
      <c r="C33" s="2"/>
      <c r="D33" s="326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50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490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500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7">
    <mergeCell ref="B11:B12"/>
    <mergeCell ref="B13:B14"/>
    <mergeCell ref="A3:V3"/>
    <mergeCell ref="A4:V4"/>
    <mergeCell ref="B5:C6"/>
    <mergeCell ref="B7:C7"/>
    <mergeCell ref="B8:C8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43" orientation="landscape" r:id="rId1"/>
  <headerFooter alignWithMargins="0"/>
  <ignoredErrors>
    <ignoredError sqref="H10 H12 H14:H18 L10 L12 L14:L18 L20:L22 L24 P26 P20:P22 H30:H32 H28 H26 H24 H21:H22 H20 T26 V26 V20 T20 T18 P28:P32 P24 L26 L28:L32 P18 P14:P16 P12 P10 T10 T12 T14 T16 V10 V12 V14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X2057"/>
  <sheetViews>
    <sheetView view="pageBreakPreview" topLeftCell="A4" zoomScale="60" zoomScaleNormal="100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37.8984375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5.89843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</row>
    <row r="3" spans="1:24" ht="19.5" customHeight="1" x14ac:dyDescent="0.4">
      <c r="A3" s="408" t="s">
        <v>42</v>
      </c>
      <c r="B3" s="4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4" s="134" customFormat="1" ht="24" customHeight="1" thickBot="1" x14ac:dyDescent="0.3">
      <c r="A4" s="409" t="s">
        <v>252</v>
      </c>
      <c r="B4" s="1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4" ht="42" customHeight="1" thickBot="1" x14ac:dyDescent="0.45">
      <c r="A5" s="661" t="s">
        <v>1</v>
      </c>
      <c r="B5" s="987" t="s">
        <v>2</v>
      </c>
      <c r="C5" s="987"/>
      <c r="D5" s="589" t="s">
        <v>3</v>
      </c>
      <c r="E5" s="654" t="s">
        <v>253</v>
      </c>
      <c r="F5" s="654" t="s">
        <v>254</v>
      </c>
      <c r="G5" s="654" t="s">
        <v>255</v>
      </c>
      <c r="H5" s="654" t="s">
        <v>256</v>
      </c>
      <c r="I5" s="654" t="s">
        <v>257</v>
      </c>
      <c r="J5" s="654" t="s">
        <v>258</v>
      </c>
      <c r="K5" s="654" t="s">
        <v>259</v>
      </c>
      <c r="L5" s="654" t="s">
        <v>260</v>
      </c>
      <c r="M5" s="654" t="s">
        <v>261</v>
      </c>
      <c r="N5" s="654" t="s">
        <v>262</v>
      </c>
      <c r="O5" s="654" t="s">
        <v>263</v>
      </c>
      <c r="P5" s="654" t="s">
        <v>264</v>
      </c>
      <c r="Q5" s="654" t="s">
        <v>265</v>
      </c>
      <c r="R5" s="654" t="s">
        <v>266</v>
      </c>
      <c r="S5" s="654" t="s">
        <v>267</v>
      </c>
      <c r="T5" s="654" t="s">
        <v>268</v>
      </c>
      <c r="U5" s="655" t="s">
        <v>46</v>
      </c>
      <c r="V5" s="656" t="s">
        <v>58</v>
      </c>
      <c r="W5" s="233"/>
      <c r="X5" s="233"/>
    </row>
    <row r="6" spans="1:24" ht="44.25" customHeight="1" thickTop="1" x14ac:dyDescent="0.35">
      <c r="A6" s="582"/>
      <c r="B6" s="988"/>
      <c r="C6" s="988"/>
      <c r="D6" s="590" t="s">
        <v>4</v>
      </c>
      <c r="E6" s="657"/>
      <c r="F6" s="657"/>
      <c r="G6" s="657"/>
      <c r="H6" s="658" t="s">
        <v>45</v>
      </c>
      <c r="I6" s="659"/>
      <c r="J6" s="659"/>
      <c r="K6" s="659"/>
      <c r="L6" s="658" t="s">
        <v>45</v>
      </c>
      <c r="M6" s="659"/>
      <c r="N6" s="659"/>
      <c r="O6" s="659"/>
      <c r="P6" s="658" t="s">
        <v>45</v>
      </c>
      <c r="Q6" s="659"/>
      <c r="R6" s="659"/>
      <c r="S6" s="659"/>
      <c r="T6" s="658" t="s">
        <v>45</v>
      </c>
      <c r="U6" s="660" t="s">
        <v>53</v>
      </c>
      <c r="V6" s="660" t="s">
        <v>53</v>
      </c>
      <c r="W6" s="233"/>
      <c r="X6" s="233"/>
    </row>
    <row r="7" spans="1:24" ht="30" customHeight="1" x14ac:dyDescent="0.25">
      <c r="A7" s="325" t="s">
        <v>5</v>
      </c>
      <c r="B7" s="985" t="s">
        <v>6</v>
      </c>
      <c r="C7" s="985"/>
      <c r="D7" s="501"/>
      <c r="E7" s="326">
        <v>21</v>
      </c>
      <c r="F7" s="326">
        <v>21</v>
      </c>
      <c r="G7" s="326">
        <v>22</v>
      </c>
      <c r="H7" s="607">
        <f>AVERAGE(E7:G7)</f>
        <v>21.333333333333332</v>
      </c>
      <c r="I7" s="326">
        <v>20</v>
      </c>
      <c r="J7" s="326">
        <v>21</v>
      </c>
      <c r="K7" s="326">
        <v>20</v>
      </c>
      <c r="L7" s="607">
        <f>AVERAGE(I7:K7)</f>
        <v>20.333333333333332</v>
      </c>
      <c r="M7" s="326">
        <v>22</v>
      </c>
      <c r="N7" s="326">
        <v>22</v>
      </c>
      <c r="O7" s="326">
        <v>20</v>
      </c>
      <c r="P7" s="607">
        <f>AVERAGE(M7:O7)</f>
        <v>21.333333333333332</v>
      </c>
      <c r="Q7" s="604">
        <v>23</v>
      </c>
      <c r="R7" s="604">
        <v>21</v>
      </c>
      <c r="S7" s="604">
        <v>19</v>
      </c>
      <c r="T7" s="607">
        <f>AVERAGE(Q7:S7)</f>
        <v>21</v>
      </c>
      <c r="U7" s="553">
        <f>SUM(E7:G7,I7:K7,M7:O7,Q7:S7)</f>
        <v>252</v>
      </c>
      <c r="V7" s="554">
        <f>AVERAGE(E7:G7,I7:K7,M7:O7,Q7:S7)</f>
        <v>21</v>
      </c>
      <c r="W7" s="233"/>
      <c r="X7" s="233"/>
    </row>
    <row r="8" spans="1:24" ht="30" customHeight="1" x14ac:dyDescent="0.25">
      <c r="A8" s="593" t="s">
        <v>7</v>
      </c>
      <c r="B8" s="989" t="s">
        <v>40</v>
      </c>
      <c r="C8" s="989"/>
      <c r="D8" s="615"/>
      <c r="E8" s="616">
        <v>50</v>
      </c>
      <c r="F8" s="616">
        <v>50</v>
      </c>
      <c r="G8" s="616">
        <v>50</v>
      </c>
      <c r="H8" s="617">
        <f>AVERAGE(E8:G8)</f>
        <v>50</v>
      </c>
      <c r="I8" s="616">
        <v>50</v>
      </c>
      <c r="J8" s="616">
        <v>50</v>
      </c>
      <c r="K8" s="616">
        <v>50</v>
      </c>
      <c r="L8" s="617">
        <f>AVERAGE(I8:K8)</f>
        <v>50</v>
      </c>
      <c r="M8" s="616">
        <v>49</v>
      </c>
      <c r="N8" s="616">
        <v>49</v>
      </c>
      <c r="O8" s="616">
        <v>49</v>
      </c>
      <c r="P8" s="617">
        <f>AVERAGE(M8:O8)</f>
        <v>49</v>
      </c>
      <c r="Q8" s="618">
        <v>49</v>
      </c>
      <c r="R8" s="618">
        <v>49</v>
      </c>
      <c r="S8" s="618">
        <v>49</v>
      </c>
      <c r="T8" s="617">
        <f>AVERAGE(Q8:S8)</f>
        <v>49</v>
      </c>
      <c r="U8" s="619" t="s">
        <v>11</v>
      </c>
      <c r="V8" s="620">
        <f>AVERAGE(E8:G8,I8:K8,M8:O8,Q8:S8)</f>
        <v>49.5</v>
      </c>
      <c r="W8" s="233"/>
      <c r="X8" s="233"/>
    </row>
    <row r="9" spans="1:24" ht="44.25" customHeight="1" x14ac:dyDescent="0.35">
      <c r="A9" s="325" t="s">
        <v>12</v>
      </c>
      <c r="B9" s="506" t="s">
        <v>27</v>
      </c>
      <c r="C9" s="23" t="s">
        <v>181</v>
      </c>
      <c r="D9" s="507" t="s">
        <v>9</v>
      </c>
      <c r="E9" s="444">
        <v>139572.29</v>
      </c>
      <c r="F9" s="444">
        <v>126993.88</v>
      </c>
      <c r="G9" s="444">
        <v>137248.1</v>
      </c>
      <c r="H9" s="608">
        <f>AVERAGE(E9:G9)</f>
        <v>134604.75666666668</v>
      </c>
      <c r="I9" s="200">
        <v>145433.15</v>
      </c>
      <c r="J9" s="200">
        <v>135117.04</v>
      </c>
      <c r="K9" s="605">
        <v>134430.65</v>
      </c>
      <c r="L9" s="608">
        <f>AVERAGE(I9:K9)</f>
        <v>138326.94666666666</v>
      </c>
      <c r="M9" s="200">
        <v>143434.07999999999</v>
      </c>
      <c r="N9" s="200">
        <v>138666.43</v>
      </c>
      <c r="O9" s="200">
        <v>130909</v>
      </c>
      <c r="P9" s="608">
        <f>AVERAGE(M9:O9)</f>
        <v>137669.83666666667</v>
      </c>
      <c r="Q9" s="444">
        <v>149638.51</v>
      </c>
      <c r="R9" s="444">
        <v>139128.4</v>
      </c>
      <c r="S9" s="444">
        <v>148349.38</v>
      </c>
      <c r="T9" s="608">
        <f>AVERAGE(Q9:S9)</f>
        <v>145705.43000000002</v>
      </c>
      <c r="U9" s="557">
        <f>SUM(E9:G9,I9:K9,M9:O9,Q9:S9)</f>
        <v>1668920.9100000001</v>
      </c>
      <c r="V9" s="558">
        <f>AVERAGE(E9:G9,I9:K9,M9:O9,Q9:S9)</f>
        <v>139076.74250000002</v>
      </c>
      <c r="W9" s="317"/>
      <c r="X9" s="233"/>
    </row>
    <row r="10" spans="1:24" ht="30" customHeight="1" x14ac:dyDescent="0.35">
      <c r="A10" s="325"/>
      <c r="B10" s="606" t="s">
        <v>28</v>
      </c>
      <c r="C10" s="21" t="s">
        <v>10</v>
      </c>
      <c r="D10" s="520"/>
      <c r="E10" s="465">
        <f>E9/E15</f>
        <v>0.43953107964690841</v>
      </c>
      <c r="F10" s="465">
        <f>F9/F15</f>
        <v>0.44467582707999698</v>
      </c>
      <c r="G10" s="465">
        <f>G9/G15</f>
        <v>0.44550136395092638</v>
      </c>
      <c r="H10" s="609">
        <f>SUM(E9:G9)/SUM(E15:G15)</f>
        <v>0.44316204280693094</v>
      </c>
      <c r="I10" s="521">
        <f>I9/I15</f>
        <v>0.4541025117260698</v>
      </c>
      <c r="J10" s="521">
        <f>J9/J15</f>
        <v>0.4383678369557763</v>
      </c>
      <c r="K10" s="521">
        <f>K9/K15</f>
        <v>0.44571494712419929</v>
      </c>
      <c r="L10" s="609">
        <f>SUM(I9:K9)/SUM(I15:K15)</f>
        <v>0.44616829853894951</v>
      </c>
      <c r="M10" s="521">
        <f>M9/M15</f>
        <v>0.44562582830127251</v>
      </c>
      <c r="N10" s="521">
        <f>N9/N15</f>
        <v>0.44246450811689753</v>
      </c>
      <c r="O10" s="521">
        <f>O9/O15</f>
        <v>0.44261112875085029</v>
      </c>
      <c r="P10" s="609">
        <f>SUM(M9:O9)/SUM(M15:O15)</f>
        <v>0.44360399951030682</v>
      </c>
      <c r="Q10" s="521">
        <f>Q9/Q15</f>
        <v>0.43357660012119059</v>
      </c>
      <c r="R10" s="521">
        <f>R9/R15</f>
        <v>0.43554723666314948</v>
      </c>
      <c r="S10" s="521">
        <f>S9/S15</f>
        <v>0.45088001143753798</v>
      </c>
      <c r="T10" s="609">
        <f>SUM(Q9:S9)/SUM(Q15:S15)</f>
        <v>0.439940133736414</v>
      </c>
      <c r="U10" s="613" t="s">
        <v>11</v>
      </c>
      <c r="V10" s="566">
        <f>U9/U15</f>
        <v>0.44316373261643732</v>
      </c>
      <c r="W10" s="448"/>
      <c r="X10" s="402"/>
    </row>
    <row r="11" spans="1:24" ht="40.5" customHeight="1" x14ac:dyDescent="0.35">
      <c r="A11" s="593"/>
      <c r="B11" s="990" t="s">
        <v>29</v>
      </c>
      <c r="C11" s="632" t="s">
        <v>181</v>
      </c>
      <c r="D11" s="633" t="s">
        <v>9</v>
      </c>
      <c r="E11" s="636">
        <v>114636.68</v>
      </c>
      <c r="F11" s="636">
        <v>104302.69</v>
      </c>
      <c r="G11" s="636">
        <v>110127.57</v>
      </c>
      <c r="H11" s="635">
        <f>AVERAGE(E11:G11)</f>
        <v>109688.98</v>
      </c>
      <c r="I11" s="634">
        <v>113416.73</v>
      </c>
      <c r="J11" s="634">
        <v>112996.62</v>
      </c>
      <c r="K11" s="645">
        <v>108061.7</v>
      </c>
      <c r="L11" s="635">
        <f>AVERAGE(I11:K11)</f>
        <v>111491.68333333333</v>
      </c>
      <c r="M11" s="634">
        <v>116827.81</v>
      </c>
      <c r="N11" s="634">
        <v>115867</v>
      </c>
      <c r="O11" s="634">
        <v>108609.83</v>
      </c>
      <c r="P11" s="635">
        <f>AVERAGE(M11:O11)</f>
        <v>113768.21333333333</v>
      </c>
      <c r="Q11" s="636">
        <v>128210.84</v>
      </c>
      <c r="R11" s="636">
        <v>117290.6</v>
      </c>
      <c r="S11" s="636">
        <v>115591.45</v>
      </c>
      <c r="T11" s="635">
        <f>AVERAGE(Q11:S11)</f>
        <v>120364.29666666668</v>
      </c>
      <c r="U11" s="646">
        <f>SUM(E11:G11,I11:K11,M11:O11,Q11:S11)</f>
        <v>1365939.52</v>
      </c>
      <c r="V11" s="637">
        <f>AVERAGE(E11:G11,I11:K11,M11:O11,Q11:S11)</f>
        <v>113828.29333333333</v>
      </c>
      <c r="W11" s="402"/>
      <c r="X11" s="233"/>
    </row>
    <row r="12" spans="1:24" ht="30" customHeight="1" x14ac:dyDescent="0.25">
      <c r="A12" s="593"/>
      <c r="B12" s="990"/>
      <c r="C12" s="647" t="s">
        <v>10</v>
      </c>
      <c r="D12" s="640"/>
      <c r="E12" s="641">
        <f>E11/E15</f>
        <v>0.36100563892400955</v>
      </c>
      <c r="F12" s="641">
        <f>F11/F15</f>
        <v>0.36522141809052944</v>
      </c>
      <c r="G12" s="641">
        <f>G11/G15</f>
        <v>0.35746930298926632</v>
      </c>
      <c r="H12" s="642">
        <f>SUM(E11:G11)/SUM(E15:G15)</f>
        <v>0.3611313125477853</v>
      </c>
      <c r="I12" s="641">
        <f>I11/I15</f>
        <v>0.3541339919045795</v>
      </c>
      <c r="J12" s="641">
        <f>J11/J15</f>
        <v>0.36660131018792158</v>
      </c>
      <c r="K12" s="641">
        <f>K11/K15</f>
        <v>0.35828670695002285</v>
      </c>
      <c r="L12" s="642">
        <f>SUM(I11:K11)/SUM(I15:K15)</f>
        <v>0.35961217863029549</v>
      </c>
      <c r="M12" s="641">
        <f>M11/M15</f>
        <v>0.36296457299320839</v>
      </c>
      <c r="N12" s="641">
        <f>N11/N15</f>
        <v>0.36971482688333845</v>
      </c>
      <c r="O12" s="641">
        <f>O11/O15</f>
        <v>0.36721630636348884</v>
      </c>
      <c r="P12" s="642">
        <f>SUM(M11:O11)/SUM(M15:O15)</f>
        <v>0.36658745062656173</v>
      </c>
      <c r="Q12" s="641">
        <f>Q11/Q15</f>
        <v>0.3714900670013484</v>
      </c>
      <c r="R12" s="641">
        <f>R11/R15</f>
        <v>0.36718309645308078</v>
      </c>
      <c r="S12" s="641">
        <f>S11/S15</f>
        <v>0.35131845039110776</v>
      </c>
      <c r="T12" s="642">
        <f>SUM(Q11:S11)/SUM(Q15:S15)</f>
        <v>0.36342560996266743</v>
      </c>
      <c r="U12" s="648" t="s">
        <v>11</v>
      </c>
      <c r="V12" s="644">
        <f>U11/U15</f>
        <v>0.36271033131911845</v>
      </c>
      <c r="W12" s="402"/>
      <c r="X12" s="233"/>
    </row>
    <row r="13" spans="1:24" ht="46.5" customHeight="1" x14ac:dyDescent="0.35">
      <c r="A13" s="325"/>
      <c r="B13" s="956" t="s">
        <v>30</v>
      </c>
      <c r="C13" s="23" t="s">
        <v>181</v>
      </c>
      <c r="D13" s="507" t="s">
        <v>9</v>
      </c>
      <c r="E13" s="444">
        <v>61940.33</v>
      </c>
      <c r="F13" s="444">
        <v>52975.46</v>
      </c>
      <c r="G13" s="444">
        <v>59258.879999999997</v>
      </c>
      <c r="H13" s="608">
        <f>AVERAGE(E13:G13)</f>
        <v>58058.223333333335</v>
      </c>
      <c r="I13" s="200">
        <v>59949.4</v>
      </c>
      <c r="J13" s="200">
        <v>58649.2</v>
      </c>
      <c r="K13" s="605">
        <v>57678.06</v>
      </c>
      <c r="L13" s="608">
        <f>AVERAGE(I13:K13)</f>
        <v>58758.886666666665</v>
      </c>
      <c r="M13" s="200">
        <v>60106.85</v>
      </c>
      <c r="N13" s="200">
        <v>57370.39</v>
      </c>
      <c r="O13" s="200">
        <v>54905.13</v>
      </c>
      <c r="P13" s="608">
        <f>AVERAGE(M13:O13)</f>
        <v>57460.79</v>
      </c>
      <c r="Q13" s="444">
        <v>65735.649999999994</v>
      </c>
      <c r="R13" s="444">
        <v>61525.2</v>
      </c>
      <c r="S13" s="444">
        <v>63657.11</v>
      </c>
      <c r="T13" s="608">
        <f>AVERAGE(Q13:S13)</f>
        <v>63639.32</v>
      </c>
      <c r="U13" s="557">
        <f>SUM(E13:G13,I13:K13,M13:O13,Q13:S13)</f>
        <v>713751.65999999992</v>
      </c>
      <c r="V13" s="558">
        <f>AVERAGE(E13:G13,I13:K13,M13:O13,Q13:S13)</f>
        <v>59479.304999999993</v>
      </c>
      <c r="W13" s="402"/>
      <c r="X13" s="233"/>
    </row>
    <row r="14" spans="1:24" ht="30" customHeight="1" x14ac:dyDescent="0.25">
      <c r="A14" s="325"/>
      <c r="B14" s="956"/>
      <c r="C14" s="21" t="s">
        <v>10</v>
      </c>
      <c r="D14" s="520"/>
      <c r="E14" s="521">
        <f>E13/E15</f>
        <v>0.19505806001023404</v>
      </c>
      <c r="F14" s="521">
        <f>F13/F15</f>
        <v>0.18549639156188702</v>
      </c>
      <c r="G14" s="521">
        <f>G13/G15</f>
        <v>0.19235174742822866</v>
      </c>
      <c r="H14" s="609">
        <f>SUM(E13:G13)/SUM(E15:G15)</f>
        <v>0.19114629743625225</v>
      </c>
      <c r="I14" s="521">
        <f>I13/I15</f>
        <v>0.18718684919133535</v>
      </c>
      <c r="J14" s="521">
        <f>J13/J15</f>
        <v>0.19027890888659724</v>
      </c>
      <c r="K14" s="521">
        <f>K13/K15</f>
        <v>0.19123595298487656</v>
      </c>
      <c r="L14" s="609">
        <f>SUM(I13:K13)/SUM(I15:K15)</f>
        <v>0.18952455121621739</v>
      </c>
      <c r="M14" s="521">
        <f>M13/M15</f>
        <v>0.186741985013815</v>
      </c>
      <c r="N14" s="521">
        <f>N13/N15</f>
        <v>0.18306061093391227</v>
      </c>
      <c r="O14" s="521">
        <f>O13/O15</f>
        <v>0.18563751585843732</v>
      </c>
      <c r="P14" s="609">
        <f>SUM(M13:O13)/SUM(M15:O15)</f>
        <v>0.18515193216026801</v>
      </c>
      <c r="Q14" s="521">
        <f>Q13/Q15</f>
        <v>0.19046861422074129</v>
      </c>
      <c r="R14" s="521">
        <f>R13/R15</f>
        <v>0.1926071948297228</v>
      </c>
      <c r="S14" s="521">
        <f>S13/S15</f>
        <v>0.19347380140638681</v>
      </c>
      <c r="T14" s="609">
        <f>SUM(Q13:S13)/SUM(Q15:S15)</f>
        <v>0.19215132168852211</v>
      </c>
      <c r="U14" s="565" t="s">
        <v>11</v>
      </c>
      <c r="V14" s="566">
        <f>U13/U15</f>
        <v>0.18952896324294854</v>
      </c>
      <c r="W14" s="233"/>
      <c r="X14" s="233"/>
    </row>
    <row r="15" spans="1:24" ht="30" customHeight="1" x14ac:dyDescent="0.25">
      <c r="A15" s="593" t="s">
        <v>17</v>
      </c>
      <c r="B15" s="621" t="s">
        <v>13</v>
      </c>
      <c r="C15" s="621" t="s">
        <v>8</v>
      </c>
      <c r="D15" s="622" t="s">
        <v>9</v>
      </c>
      <c r="E15" s="623">
        <f>E17+E19</f>
        <v>317548.17</v>
      </c>
      <c r="F15" s="623">
        <f>F17+F19</f>
        <v>285587.55000000005</v>
      </c>
      <c r="G15" s="623">
        <f>G17+G19</f>
        <v>308075.59999999998</v>
      </c>
      <c r="H15" s="624">
        <f>AVERAGE(E15:G15)</f>
        <v>303737.10666666663</v>
      </c>
      <c r="I15" s="623">
        <f>I17+I19</f>
        <v>320265.02</v>
      </c>
      <c r="J15" s="623">
        <f>J17+J19</f>
        <v>308227.53999999998</v>
      </c>
      <c r="K15" s="623">
        <f>K17+K19</f>
        <v>301606.77999999997</v>
      </c>
      <c r="L15" s="624">
        <f>AVERAGE(I15:K15)</f>
        <v>310033.11333333334</v>
      </c>
      <c r="M15" s="623">
        <f>M17+M19</f>
        <v>321871.11</v>
      </c>
      <c r="N15" s="623">
        <f>N17+N19</f>
        <v>313395.60000000003</v>
      </c>
      <c r="O15" s="623">
        <f>O17+O19</f>
        <v>295765.27</v>
      </c>
      <c r="P15" s="624">
        <f>AVERAGE(M15:O15)</f>
        <v>310343.99333333335</v>
      </c>
      <c r="Q15" s="623">
        <f>Q17+Q19</f>
        <v>345125.89</v>
      </c>
      <c r="R15" s="623">
        <f>R17+R19</f>
        <v>319433.55</v>
      </c>
      <c r="S15" s="623">
        <f>S17+S19</f>
        <v>329021.86</v>
      </c>
      <c r="T15" s="624">
        <f>AVERAGE(Q15:S15)</f>
        <v>331193.76666666666</v>
      </c>
      <c r="U15" s="625">
        <f>SUM(E15:G15,I15:K15,M15:O15,Q15:S15)</f>
        <v>3765923.94</v>
      </c>
      <c r="V15" s="625">
        <f>AVERAGE(E15:G15,I15:K15,M15:O15,Q15:S15)</f>
        <v>313826.995</v>
      </c>
      <c r="W15" s="317"/>
      <c r="X15" s="233"/>
    </row>
    <row r="16" spans="1:24" ht="30" customHeight="1" x14ac:dyDescent="0.25">
      <c r="A16" s="593"/>
      <c r="B16" s="626" t="s">
        <v>14</v>
      </c>
      <c r="C16" s="626" t="s">
        <v>15</v>
      </c>
      <c r="D16" s="616" t="s">
        <v>9</v>
      </c>
      <c r="E16" s="627">
        <f>E15/E7</f>
        <v>15121.341428571428</v>
      </c>
      <c r="F16" s="627">
        <f>F15/F7</f>
        <v>13599.407142857144</v>
      </c>
      <c r="G16" s="627">
        <f>G15/G7</f>
        <v>14003.436363636363</v>
      </c>
      <c r="H16" s="628">
        <f>SUM(E15:G15)/SUM(E7:G7)</f>
        <v>14237.676874999999</v>
      </c>
      <c r="I16" s="627">
        <f>I15/I7</f>
        <v>16013.251</v>
      </c>
      <c r="J16" s="627">
        <f>J15/J7</f>
        <v>14677.501904761904</v>
      </c>
      <c r="K16" s="627">
        <f>K15/K7</f>
        <v>15080.338999999998</v>
      </c>
      <c r="L16" s="628">
        <f>SUM(I15:K15)/SUM(I7:K7)</f>
        <v>15247.530163934427</v>
      </c>
      <c r="M16" s="627">
        <f>M17/M7</f>
        <v>14562.215454545454</v>
      </c>
      <c r="N16" s="627">
        <f>N17/N7</f>
        <v>14177.446363636363</v>
      </c>
      <c r="O16" s="627">
        <f>O17/O7</f>
        <v>14721.198</v>
      </c>
      <c r="P16" s="628">
        <f>SUM(M15:O15)/SUM(M7:O7)</f>
        <v>14547.3746875</v>
      </c>
      <c r="Q16" s="627">
        <f>Q17/Q7</f>
        <v>14938.478260869566</v>
      </c>
      <c r="R16" s="627">
        <f>R17/R7</f>
        <v>15140.2</v>
      </c>
      <c r="S16" s="627">
        <f>S17/S7</f>
        <v>17241.996842105262</v>
      </c>
      <c r="T16" s="628">
        <f>SUM(Q15:S15)/SUM(Q7:S7)</f>
        <v>15771.131746031744</v>
      </c>
      <c r="U16" s="629" t="s">
        <v>11</v>
      </c>
      <c r="V16" s="630">
        <f>U15/U7</f>
        <v>14944.14261904762</v>
      </c>
      <c r="W16" s="233"/>
      <c r="X16" s="233"/>
    </row>
    <row r="17" spans="1:24" s="27" customFormat="1" ht="40.5" customHeight="1" x14ac:dyDescent="0.35">
      <c r="A17" s="591"/>
      <c r="B17" s="526" t="s">
        <v>36</v>
      </c>
      <c r="C17" s="23" t="s">
        <v>8</v>
      </c>
      <c r="D17" s="507" t="s">
        <v>9</v>
      </c>
      <c r="E17" s="200">
        <f>E9+E11+E13</f>
        <v>316149.3</v>
      </c>
      <c r="F17" s="200">
        <f>F9+F11+F13</f>
        <v>284272.03000000003</v>
      </c>
      <c r="G17" s="200">
        <f>G9+G11+G13</f>
        <v>306634.55</v>
      </c>
      <c r="H17" s="608">
        <f>AVERAGE(E17:G17)</f>
        <v>302351.96000000002</v>
      </c>
      <c r="I17" s="200">
        <v>318799.28000000003</v>
      </c>
      <c r="J17" s="200">
        <v>306762.86</v>
      </c>
      <c r="K17" s="200">
        <v>300170.40999999997</v>
      </c>
      <c r="L17" s="608">
        <f>AVERAGE(I17:K17)</f>
        <v>308577.51666666666</v>
      </c>
      <c r="M17" s="200">
        <v>320368.74</v>
      </c>
      <c r="N17" s="200">
        <v>311903.82</v>
      </c>
      <c r="O17" s="200">
        <v>294423.96000000002</v>
      </c>
      <c r="P17" s="608">
        <f>AVERAGE(M17:O17)</f>
        <v>308898.84000000003</v>
      </c>
      <c r="Q17" s="444">
        <v>343585</v>
      </c>
      <c r="R17" s="444">
        <v>317944.2</v>
      </c>
      <c r="S17" s="444">
        <v>327597.94</v>
      </c>
      <c r="T17" s="608">
        <f>AVERAGE(Q17:S17)</f>
        <v>329709.04666666663</v>
      </c>
      <c r="U17" s="558">
        <f>SUM(E17:G17,I17:K17,M17:O17,Q17:S17)</f>
        <v>3748612.09</v>
      </c>
      <c r="V17" s="558">
        <f>AVERAGE(E17:G17,I17:K17,M17:O17,Q18,Q18,Q17,Q17:S17)</f>
        <v>272813.27207137085</v>
      </c>
      <c r="W17" s="234"/>
      <c r="X17" s="234"/>
    </row>
    <row r="18" spans="1:24" s="25" customFormat="1" ht="30" customHeight="1" x14ac:dyDescent="0.25">
      <c r="A18" s="592"/>
      <c r="B18" s="527" t="s">
        <v>32</v>
      </c>
      <c r="C18" s="20" t="s">
        <v>10</v>
      </c>
      <c r="D18" s="520"/>
      <c r="E18" s="521">
        <f>E17/E15</f>
        <v>0.99559477858115197</v>
      </c>
      <c r="F18" s="521">
        <f>F17/F15</f>
        <v>0.99539363673241354</v>
      </c>
      <c r="G18" s="521">
        <f>G17/G15</f>
        <v>0.99532241436842128</v>
      </c>
      <c r="H18" s="609">
        <f>SUM(E17:G17)/SUM(E15:G15)</f>
        <v>0.99543965279096858</v>
      </c>
      <c r="I18" s="521">
        <f>I17/I15</f>
        <v>0.9954233528219848</v>
      </c>
      <c r="J18" s="521">
        <f>J17/J15</f>
        <v>0.99524805603029509</v>
      </c>
      <c r="K18" s="521">
        <f>K17/K15</f>
        <v>0.99523760705909858</v>
      </c>
      <c r="L18" s="609">
        <f>SUM(I17:K17)/SUM(I15:K15)</f>
        <v>0.99530502838546253</v>
      </c>
      <c r="M18" s="521">
        <f>M17/M15</f>
        <v>0.9953323863082959</v>
      </c>
      <c r="N18" s="521">
        <f>N17/N15</f>
        <v>0.99523994593414833</v>
      </c>
      <c r="O18" s="521">
        <f>O17/O15</f>
        <v>0.99546495097277654</v>
      </c>
      <c r="P18" s="609">
        <f>SUM(M17:O17)/SUM(M15:O15)</f>
        <v>0.99534338229713659</v>
      </c>
      <c r="Q18" s="521">
        <f>Q17/Q15</f>
        <v>0.99553528134328029</v>
      </c>
      <c r="R18" s="521">
        <f>R17/R15</f>
        <v>0.9953375279459532</v>
      </c>
      <c r="S18" s="521">
        <f>S17/S15</f>
        <v>0.99567226323503255</v>
      </c>
      <c r="T18" s="609">
        <f>SUM(Q17:S17)/SUM(Q15:S15)</f>
        <v>0.99551706538760343</v>
      </c>
      <c r="U18" s="565" t="s">
        <v>11</v>
      </c>
      <c r="V18" s="566">
        <f>U17/U15</f>
        <v>0.99540302717850426</v>
      </c>
      <c r="W18" s="235"/>
      <c r="X18" s="235"/>
    </row>
    <row r="19" spans="1:24" s="27" customFormat="1" ht="40.5" customHeight="1" x14ac:dyDescent="0.35">
      <c r="A19" s="594"/>
      <c r="B19" s="631" t="s">
        <v>36</v>
      </c>
      <c r="C19" s="632" t="s">
        <v>8</v>
      </c>
      <c r="D19" s="633" t="s">
        <v>9</v>
      </c>
      <c r="E19" s="636">
        <v>1398.87</v>
      </c>
      <c r="F19" s="636">
        <v>1315.52</v>
      </c>
      <c r="G19" s="636">
        <v>1441.05</v>
      </c>
      <c r="H19" s="635">
        <f>AVERAGE(E19:G19)</f>
        <v>1385.1466666666665</v>
      </c>
      <c r="I19" s="634">
        <v>1465.74</v>
      </c>
      <c r="J19" s="634">
        <v>1464.68</v>
      </c>
      <c r="K19" s="634">
        <v>1436.37</v>
      </c>
      <c r="L19" s="635">
        <f>AVERAGE(I19:K19)</f>
        <v>1455.5966666666666</v>
      </c>
      <c r="M19" s="634">
        <v>1502.37</v>
      </c>
      <c r="N19" s="634">
        <v>1491.78</v>
      </c>
      <c r="O19" s="634">
        <v>1341.31</v>
      </c>
      <c r="P19" s="635">
        <f>AVERAGE(M19:O19)</f>
        <v>1445.153333333333</v>
      </c>
      <c r="Q19" s="636">
        <v>1540.89</v>
      </c>
      <c r="R19" s="636">
        <v>1489.35</v>
      </c>
      <c r="S19" s="636">
        <v>1423.92</v>
      </c>
      <c r="T19" s="635">
        <f>AVERAGE(Q19:S19)</f>
        <v>1484.72</v>
      </c>
      <c r="U19" s="637">
        <f>SUM(E19:G19,I19:K19,M19:O19,Q19:S19)</f>
        <v>17311.849999999999</v>
      </c>
      <c r="V19" s="637">
        <f>AVERAGE(E19:G19,I19:K19,M19:O19,Q19:S19)</f>
        <v>1442.6541666666665</v>
      </c>
      <c r="W19" s="234"/>
      <c r="X19" s="234"/>
    </row>
    <row r="20" spans="1:24" s="25" customFormat="1" ht="30" customHeight="1" x14ac:dyDescent="0.25">
      <c r="A20" s="595"/>
      <c r="B20" s="638" t="s">
        <v>31</v>
      </c>
      <c r="C20" s="639" t="s">
        <v>10</v>
      </c>
      <c r="D20" s="640"/>
      <c r="E20" s="641">
        <f>E19/E15</f>
        <v>4.4052214188480439E-3</v>
      </c>
      <c r="F20" s="641">
        <f>F19/F15</f>
        <v>4.6063632675864188E-3</v>
      </c>
      <c r="G20" s="641">
        <f>G19/G15</f>
        <v>4.6775856315787422E-3</v>
      </c>
      <c r="H20" s="642">
        <f>SUM(E19:G19)/SUM(E15:G15)</f>
        <v>4.5603472090315995E-3</v>
      </c>
      <c r="I20" s="641">
        <f>I19/I15</f>
        <v>4.5766471780152576E-3</v>
      </c>
      <c r="J20" s="641">
        <f>J19/J15</f>
        <v>4.7519439697049793E-3</v>
      </c>
      <c r="K20" s="641">
        <f>K19/K15</f>
        <v>4.7623929409013948E-3</v>
      </c>
      <c r="L20" s="642">
        <f>SUM(I19:K19)/SUM(I15:K15)</f>
        <v>4.6949716145374314E-3</v>
      </c>
      <c r="M20" s="641">
        <f>M19/M15</f>
        <v>4.6676136917041108E-3</v>
      </c>
      <c r="N20" s="641">
        <f>N19/N15</f>
        <v>4.7600540658515938E-3</v>
      </c>
      <c r="O20" s="641">
        <f>O19/O15</f>
        <v>4.5350490272235136E-3</v>
      </c>
      <c r="P20" s="642">
        <f>SUM(M19:O19)/SUM(M15:O15)</f>
        <v>4.6566177028634385E-3</v>
      </c>
      <c r="Q20" s="641">
        <f>Q19/Q15</f>
        <v>4.4647186567197267E-3</v>
      </c>
      <c r="R20" s="641">
        <f>R19/R15</f>
        <v>4.6624720540469214E-3</v>
      </c>
      <c r="S20" s="641">
        <f>S19/S15</f>
        <v>4.3277367649675316E-3</v>
      </c>
      <c r="T20" s="642">
        <f>SUM(Q19:S19)/SUM(Q15:S15)</f>
        <v>4.4829346123965901E-3</v>
      </c>
      <c r="U20" s="643" t="s">
        <v>11</v>
      </c>
      <c r="V20" s="644">
        <f>U19/U15</f>
        <v>4.5969728214956991E-3</v>
      </c>
      <c r="W20" s="235"/>
      <c r="X20" s="235"/>
    </row>
    <row r="21" spans="1:24" ht="30" customHeight="1" x14ac:dyDescent="0.25">
      <c r="A21" s="325" t="s">
        <v>24</v>
      </c>
      <c r="B21" s="119" t="s">
        <v>37</v>
      </c>
      <c r="C21" s="119" t="s">
        <v>19</v>
      </c>
      <c r="D21" s="332" t="s">
        <v>16</v>
      </c>
      <c r="E21" s="218">
        <f>E23+E25</f>
        <v>120037.90400000001</v>
      </c>
      <c r="F21" s="218">
        <f>F23+F25</f>
        <v>116472.768</v>
      </c>
      <c r="G21" s="218">
        <f>G23+G25</f>
        <v>124967.893</v>
      </c>
      <c r="H21" s="610">
        <f>AVERAGE(E21:G21)</f>
        <v>120492.855</v>
      </c>
      <c r="I21" s="218">
        <f>I23+I25</f>
        <v>123353.01000000001</v>
      </c>
      <c r="J21" s="218">
        <f>J23+J25</f>
        <v>121789.93</v>
      </c>
      <c r="K21" s="218">
        <f>K23+K25</f>
        <v>118704.64</v>
      </c>
      <c r="L21" s="610">
        <f>AVERAGE(I21:K21)</f>
        <v>121282.52666666667</v>
      </c>
      <c r="M21" s="218">
        <f>M23+M25</f>
        <v>124599.4</v>
      </c>
      <c r="N21" s="218">
        <f>N23+N25</f>
        <v>117739.7</v>
      </c>
      <c r="O21" s="218">
        <f>O23+O25</f>
        <v>113967.26</v>
      </c>
      <c r="P21" s="610">
        <f>AVERAGE(M21:O21)</f>
        <v>118768.78666666667</v>
      </c>
      <c r="Q21" s="218">
        <f>Q23+Q25</f>
        <v>131238.10999999999</v>
      </c>
      <c r="R21" s="218">
        <f>R23+R25</f>
        <v>123092.18000000001</v>
      </c>
      <c r="S21" s="218">
        <f>S23+S25</f>
        <v>126627.9</v>
      </c>
      <c r="T21" s="610">
        <f>AVERAGE(Q21:S21)</f>
        <v>126986.06333333331</v>
      </c>
      <c r="U21" s="571">
        <f>SUM(E21:G21,I21:K21,M21:O21,Q21:S21)</f>
        <v>1462590.6949999996</v>
      </c>
      <c r="V21" s="572">
        <f>AVERAGE(E21:G21,I21:K21,M21:O21,Q21:S21)</f>
        <v>121882.55791666663</v>
      </c>
      <c r="W21" s="233"/>
      <c r="X21" s="233"/>
    </row>
    <row r="22" spans="1:24" ht="30" customHeight="1" x14ac:dyDescent="0.25">
      <c r="A22" s="325"/>
      <c r="B22" s="2" t="s">
        <v>14</v>
      </c>
      <c r="C22" s="2" t="s">
        <v>38</v>
      </c>
      <c r="D22" s="326" t="s">
        <v>16</v>
      </c>
      <c r="E22" s="221">
        <f>E21/E7</f>
        <v>5716.0906666666669</v>
      </c>
      <c r="F22" s="221">
        <f>F21/F7</f>
        <v>5546.3222857142855</v>
      </c>
      <c r="G22" s="221">
        <f>G21/G7</f>
        <v>5680.3587727272725</v>
      </c>
      <c r="H22" s="611">
        <f>SUM(E21:G21)/SUM(E7:G7)</f>
        <v>5648.102578125</v>
      </c>
      <c r="I22" s="221">
        <f>I21/I7</f>
        <v>6167.6505000000006</v>
      </c>
      <c r="J22" s="221">
        <f>J21/J7</f>
        <v>5799.5204761904761</v>
      </c>
      <c r="K22" s="221">
        <f>K21/K7</f>
        <v>5935.232</v>
      </c>
      <c r="L22" s="611">
        <f>SUM(I21:K21)/SUM(I7:K7)</f>
        <v>5964.7144262295087</v>
      </c>
      <c r="M22" s="221">
        <f>M21/M7</f>
        <v>5663.6090909090908</v>
      </c>
      <c r="N22" s="221">
        <f>N21/N7</f>
        <v>5351.8045454545454</v>
      </c>
      <c r="O22" s="221">
        <f>O21/O7</f>
        <v>5698.3629999999994</v>
      </c>
      <c r="P22" s="611">
        <f>SUM(M21:O21)/SUM(M7:O7)</f>
        <v>5567.2868749999998</v>
      </c>
      <c r="Q22" s="221">
        <f>Q21/Q7</f>
        <v>5706.0047826086948</v>
      </c>
      <c r="R22" s="221">
        <f>R21/R7</f>
        <v>5861.5323809523816</v>
      </c>
      <c r="S22" s="221">
        <f>S21/S7</f>
        <v>6664.6263157894737</v>
      </c>
      <c r="T22" s="611">
        <f>SUM(Q21:S21)/SUM(Q7:S7)</f>
        <v>6046.9553968253958</v>
      </c>
      <c r="U22" s="573" t="s">
        <v>11</v>
      </c>
      <c r="V22" s="574">
        <f>U21/U7</f>
        <v>5803.9313293650775</v>
      </c>
      <c r="W22" s="233"/>
      <c r="X22" s="233"/>
    </row>
    <row r="23" spans="1:24" s="27" customFormat="1" ht="42.75" customHeight="1" x14ac:dyDescent="0.35">
      <c r="A23" s="594"/>
      <c r="B23" s="631" t="s">
        <v>36</v>
      </c>
      <c r="C23" s="632" t="s">
        <v>19</v>
      </c>
      <c r="D23" s="633" t="s">
        <v>16</v>
      </c>
      <c r="E23" s="636">
        <v>118217.13</v>
      </c>
      <c r="F23" s="636">
        <v>114780.34</v>
      </c>
      <c r="G23" s="636">
        <v>123186.48</v>
      </c>
      <c r="H23" s="635">
        <f>AVERAGE(E23:G23)</f>
        <v>118727.98333333334</v>
      </c>
      <c r="I23" s="634">
        <v>121593.55</v>
      </c>
      <c r="J23" s="634">
        <v>119930.03</v>
      </c>
      <c r="K23" s="634">
        <v>117028.75</v>
      </c>
      <c r="L23" s="635">
        <f>AVERAGE(I23:K23)</f>
        <v>119517.44333333334</v>
      </c>
      <c r="M23" s="634">
        <v>122748.2</v>
      </c>
      <c r="N23" s="634">
        <v>115976.4</v>
      </c>
      <c r="O23" s="634">
        <v>112324.26</v>
      </c>
      <c r="P23" s="635">
        <f>AVERAGE(M23:O23)</f>
        <v>117016.28666666667</v>
      </c>
      <c r="Q23" s="636">
        <v>129381.45</v>
      </c>
      <c r="R23" s="636">
        <v>121396.05</v>
      </c>
      <c r="S23" s="636">
        <v>124845.51</v>
      </c>
      <c r="T23" s="635">
        <f>AVERAGE(Q23:S23)</f>
        <v>125207.67</v>
      </c>
      <c r="U23" s="637">
        <f>SUM(E23:G23,I23:K23,M23:O23,Q23:S23)</f>
        <v>1441408.15</v>
      </c>
      <c r="V23" s="637">
        <f>AVERAGE(E23:G23,I23:K23,L23:O24)</f>
        <v>84664.751752139753</v>
      </c>
      <c r="W23" s="234"/>
      <c r="X23" s="234"/>
    </row>
    <row r="24" spans="1:24" s="25" customFormat="1" ht="30" customHeight="1" x14ac:dyDescent="0.25">
      <c r="A24" s="595"/>
      <c r="B24" s="638" t="s">
        <v>32</v>
      </c>
      <c r="C24" s="639" t="s">
        <v>21</v>
      </c>
      <c r="D24" s="640"/>
      <c r="E24" s="641">
        <f>E23/E21</f>
        <v>0.98483167450174736</v>
      </c>
      <c r="F24" s="641">
        <f>F23/F21</f>
        <v>0.98546932446904667</v>
      </c>
      <c r="G24" s="641">
        <f>G23/G21</f>
        <v>0.98574503452658835</v>
      </c>
      <c r="H24" s="642">
        <f>SUM(E23:G23)/SUM(E21:G21)</f>
        <v>0.98535289360795153</v>
      </c>
      <c r="I24" s="641">
        <f>I23/I21</f>
        <v>0.98573638373315731</v>
      </c>
      <c r="J24" s="641">
        <f>J23/J21</f>
        <v>0.98472862247313886</v>
      </c>
      <c r="K24" s="641">
        <f>K23/K21</f>
        <v>0.98588184926890809</v>
      </c>
      <c r="L24" s="642">
        <f>SUM(I23:K23)/SUM(I21:K21)</f>
        <v>0.98544651581851939</v>
      </c>
      <c r="M24" s="641">
        <f>M23/M21</f>
        <v>0.98514278559928858</v>
      </c>
      <c r="N24" s="641">
        <f>N23/N21</f>
        <v>0.98502374305353246</v>
      </c>
      <c r="O24" s="641">
        <f>O23/O21</f>
        <v>0.98558357900330318</v>
      </c>
      <c r="P24" s="642">
        <f>SUM(M23:O23)/SUM(M21:O21)</f>
        <v>0.98524443964457997</v>
      </c>
      <c r="Q24" s="641">
        <f>Q23/Q21</f>
        <v>0.98585273744036706</v>
      </c>
      <c r="R24" s="641">
        <f>R23/R21</f>
        <v>0.98622065187244223</v>
      </c>
      <c r="S24" s="641">
        <f>S23/S21</f>
        <v>0.98592419206193893</v>
      </c>
      <c r="T24" s="642">
        <f>SUM(Q23:S23)/SUM(Q21:S21)</f>
        <v>0.98599536605316207</v>
      </c>
      <c r="U24" s="643" t="s">
        <v>11</v>
      </c>
      <c r="V24" s="644">
        <f>U23/U21</f>
        <v>0.98551710668445103</v>
      </c>
      <c r="W24" s="235"/>
      <c r="X24" s="236"/>
    </row>
    <row r="25" spans="1:24" s="27" customFormat="1" ht="37.5" customHeight="1" x14ac:dyDescent="0.35">
      <c r="A25" s="591"/>
      <c r="B25" s="526" t="s">
        <v>36</v>
      </c>
      <c r="C25" s="23" t="s">
        <v>19</v>
      </c>
      <c r="D25" s="507" t="s">
        <v>16</v>
      </c>
      <c r="E25" s="444">
        <v>1820.7739999999999</v>
      </c>
      <c r="F25" s="444">
        <v>1692.4280000000001</v>
      </c>
      <c r="G25" s="444">
        <v>1781.413</v>
      </c>
      <c r="H25" s="608">
        <f>AVERAGE(E25:G25)</f>
        <v>1764.8716666666667</v>
      </c>
      <c r="I25" s="200">
        <v>1759.46</v>
      </c>
      <c r="J25" s="200">
        <v>1859.9</v>
      </c>
      <c r="K25" s="200">
        <v>1675.89</v>
      </c>
      <c r="L25" s="608">
        <f>AVERAGE(I25:K25)</f>
        <v>1765.0833333333333</v>
      </c>
      <c r="M25" s="444">
        <v>1851.2</v>
      </c>
      <c r="N25" s="200">
        <v>1763.3</v>
      </c>
      <c r="O25" s="200">
        <v>1643</v>
      </c>
      <c r="P25" s="608">
        <f>AVERAGE(M25:O25)</f>
        <v>1752.5</v>
      </c>
      <c r="Q25" s="444">
        <v>1856.66</v>
      </c>
      <c r="R25" s="444">
        <v>1696.13</v>
      </c>
      <c r="S25" s="444">
        <v>1782.39</v>
      </c>
      <c r="T25" s="608">
        <f>AVERAGE(Q25:S25)</f>
        <v>1778.3933333333334</v>
      </c>
      <c r="U25" s="558">
        <f>SUM(E25:G25,I25:K25,M25:O25,Q25:S25)</f>
        <v>21182.545000000002</v>
      </c>
      <c r="V25" s="576">
        <f>AVERAGE(E25:G25,I25:K25,M25:O25,Q25:S25)</f>
        <v>1765.2120833333336</v>
      </c>
      <c r="W25" s="234"/>
      <c r="X25" s="234"/>
    </row>
    <row r="26" spans="1:24" s="25" customFormat="1" ht="30" customHeight="1" x14ac:dyDescent="0.25">
      <c r="A26" s="592"/>
      <c r="B26" s="527" t="s">
        <v>31</v>
      </c>
      <c r="C26" s="20" t="s">
        <v>21</v>
      </c>
      <c r="D26" s="520"/>
      <c r="E26" s="521">
        <f>E25/E21</f>
        <v>1.5168325498252616E-2</v>
      </c>
      <c r="F26" s="521">
        <f>F25/F21</f>
        <v>1.4530675530953297E-2</v>
      </c>
      <c r="G26" s="521">
        <f>G25/G21</f>
        <v>1.4254965473411639E-2</v>
      </c>
      <c r="H26" s="609">
        <f>SUM(E25:G25)/SUM(E21:G21)</f>
        <v>1.4647106392048446E-2</v>
      </c>
      <c r="I26" s="521">
        <f>I25/I21</f>
        <v>1.4263616266842616E-2</v>
      </c>
      <c r="J26" s="521">
        <f>J25/J21</f>
        <v>1.5271377526861212E-2</v>
      </c>
      <c r="K26" s="521">
        <f>K25/K21</f>
        <v>1.4118150731091895E-2</v>
      </c>
      <c r="L26" s="609">
        <f>SUM(I25:K25)/SUM(I21:K21)</f>
        <v>1.4553484181480607E-2</v>
      </c>
      <c r="M26" s="521">
        <f>M25/M21</f>
        <v>1.48572144007114E-2</v>
      </c>
      <c r="N26" s="521">
        <f>N25/N21</f>
        <v>1.4976256946467504E-2</v>
      </c>
      <c r="O26" s="521">
        <f>O25/O21</f>
        <v>1.4416420996696771E-2</v>
      </c>
      <c r="P26" s="609">
        <f>SUM(M25:O25)/SUM(M21:O21)</f>
        <v>1.4755560355419983E-2</v>
      </c>
      <c r="Q26" s="521">
        <f>Q25/Q21</f>
        <v>1.4147262559633023E-2</v>
      </c>
      <c r="R26" s="521">
        <f>R25/R21</f>
        <v>1.3779348127557737E-2</v>
      </c>
      <c r="S26" s="521">
        <f>S25/S21</f>
        <v>1.4075807938061045E-2</v>
      </c>
      <c r="T26" s="609">
        <f>SUM(Q25:S25)/SUM(Q21:S21)</f>
        <v>1.4004633946838105E-2</v>
      </c>
      <c r="U26" s="577" t="s">
        <v>11</v>
      </c>
      <c r="V26" s="565">
        <f>U25/U21</f>
        <v>1.4482893315549233E-2</v>
      </c>
      <c r="W26" s="235"/>
      <c r="X26" s="235"/>
    </row>
    <row r="27" spans="1:24" ht="30" customHeight="1" x14ac:dyDescent="0.25">
      <c r="A27" s="593" t="s">
        <v>33</v>
      </c>
      <c r="B27" s="621" t="s">
        <v>34</v>
      </c>
      <c r="C27" s="626" t="s">
        <v>18</v>
      </c>
      <c r="D27" s="616"/>
      <c r="E27" s="649">
        <v>1778</v>
      </c>
      <c r="F27" s="649">
        <v>1779</v>
      </c>
      <c r="G27" s="649">
        <v>1781</v>
      </c>
      <c r="H27" s="650">
        <f>AVERAGE(E27:G27)</f>
        <v>1779.3333333333333</v>
      </c>
      <c r="I27" s="649">
        <v>1784</v>
      </c>
      <c r="J27" s="649">
        <v>1784</v>
      </c>
      <c r="K27" s="649">
        <v>1784</v>
      </c>
      <c r="L27" s="650">
        <f>AVERAGE(I27:K27)</f>
        <v>1784</v>
      </c>
      <c r="M27" s="649">
        <v>1785</v>
      </c>
      <c r="N27" s="649">
        <v>1783</v>
      </c>
      <c r="O27" s="649">
        <v>1783</v>
      </c>
      <c r="P27" s="650">
        <f>AVERAGE(M27:O27)</f>
        <v>1783.6666666666667</v>
      </c>
      <c r="Q27" s="651">
        <v>1782</v>
      </c>
      <c r="R27" s="651">
        <v>1781</v>
      </c>
      <c r="S27" s="651">
        <v>1782</v>
      </c>
      <c r="T27" s="650">
        <f>AVERAGE(Q27:S27)</f>
        <v>1781.6666666666667</v>
      </c>
      <c r="U27" s="652" t="s">
        <v>11</v>
      </c>
      <c r="V27" s="653">
        <f>AVERAGE(E27:G27,I27:K27,M27:O27,Q27:S27)</f>
        <v>1782.1666666666667</v>
      </c>
      <c r="W27" s="233"/>
      <c r="X27" s="233"/>
    </row>
    <row r="28" spans="1:24" ht="30" customHeight="1" x14ac:dyDescent="0.25">
      <c r="A28" s="331"/>
      <c r="B28" s="331"/>
      <c r="C28" s="119" t="s">
        <v>19</v>
      </c>
      <c r="D28" s="332" t="s">
        <v>16</v>
      </c>
      <c r="E28" s="218">
        <f>E21</f>
        <v>120037.90400000001</v>
      </c>
      <c r="F28" s="218">
        <f>F21</f>
        <v>116472.768</v>
      </c>
      <c r="G28" s="218">
        <f>G21</f>
        <v>124967.893</v>
      </c>
      <c r="H28" s="610">
        <f>AVERAGE(E28:G28)</f>
        <v>120492.855</v>
      </c>
      <c r="I28" s="218">
        <f>I21</f>
        <v>123353.01000000001</v>
      </c>
      <c r="J28" s="218">
        <f>J21</f>
        <v>121789.93</v>
      </c>
      <c r="K28" s="218">
        <f>K21</f>
        <v>118704.64</v>
      </c>
      <c r="L28" s="610">
        <f>AVERAGE(I28:J28)</f>
        <v>122571.47</v>
      </c>
      <c r="M28" s="218">
        <f>M21</f>
        <v>124599.4</v>
      </c>
      <c r="N28" s="218">
        <f>N21</f>
        <v>117739.7</v>
      </c>
      <c r="O28" s="218">
        <f>O21</f>
        <v>113967.26</v>
      </c>
      <c r="P28" s="610">
        <f>AVERAGE(M28:O28)</f>
        <v>118768.78666666667</v>
      </c>
      <c r="Q28" s="218">
        <f>Q21</f>
        <v>131238.10999999999</v>
      </c>
      <c r="R28" s="218">
        <f>R21</f>
        <v>123092.18000000001</v>
      </c>
      <c r="S28" s="218">
        <f>S21</f>
        <v>126627.9</v>
      </c>
      <c r="T28" s="610">
        <f>AVERAGE(Q28:S28)</f>
        <v>126986.06333333331</v>
      </c>
      <c r="U28" s="571">
        <f>SUM(E28:G28,I28:K28,M28:O28,Q28:S28)</f>
        <v>1462590.6949999996</v>
      </c>
      <c r="V28" s="571">
        <f>AVERAGE(E28:G28,I28:K28,M28:O28,Q28:S28)</f>
        <v>121882.55791666663</v>
      </c>
      <c r="W28" s="233"/>
      <c r="X28" s="233"/>
    </row>
    <row r="29" spans="1:24" ht="30" customHeight="1" x14ac:dyDescent="0.25">
      <c r="A29" s="596"/>
      <c r="B29" s="596"/>
      <c r="C29" s="626" t="s">
        <v>20</v>
      </c>
      <c r="D29" s="616" t="s">
        <v>16</v>
      </c>
      <c r="E29" s="627">
        <f>E28/E7</f>
        <v>5716.0906666666669</v>
      </c>
      <c r="F29" s="627">
        <f>F28/E7</f>
        <v>5546.3222857142855</v>
      </c>
      <c r="G29" s="627">
        <f>G28/E7</f>
        <v>5950.8520476190479</v>
      </c>
      <c r="H29" s="628">
        <f>SUM(E28:G28)/SUM(E7:G7)</f>
        <v>5648.102578125</v>
      </c>
      <c r="I29" s="627">
        <f>I28/I7</f>
        <v>6167.6505000000006</v>
      </c>
      <c r="J29" s="627">
        <f>J28/J7</f>
        <v>5799.5204761904761</v>
      </c>
      <c r="K29" s="627">
        <f>K28/K7</f>
        <v>5935.232</v>
      </c>
      <c r="L29" s="628">
        <f>SUM(I28:K28)/SUM(I7:K7)</f>
        <v>5964.7144262295087</v>
      </c>
      <c r="M29" s="627">
        <f>M28/M7</f>
        <v>5663.6090909090908</v>
      </c>
      <c r="N29" s="627">
        <f>N28/N7</f>
        <v>5351.8045454545454</v>
      </c>
      <c r="O29" s="627">
        <f>O28/O7</f>
        <v>5698.3629999999994</v>
      </c>
      <c r="P29" s="628">
        <f>SUM(M28:O28)/SUM(M7:O7)</f>
        <v>5567.2868749999998</v>
      </c>
      <c r="Q29" s="627">
        <f>Q28/Q7</f>
        <v>5706.0047826086948</v>
      </c>
      <c r="R29" s="627">
        <f>R28/R7</f>
        <v>5861.5323809523816</v>
      </c>
      <c r="S29" s="627">
        <f>S28/S7</f>
        <v>6664.6263157894737</v>
      </c>
      <c r="T29" s="628">
        <f>SUM(Q28:S28)/SUM(Q7:S7)</f>
        <v>6046.9553968253958</v>
      </c>
      <c r="U29" s="629" t="s">
        <v>11</v>
      </c>
      <c r="V29" s="630">
        <f>U28/U7</f>
        <v>5803.9313293650775</v>
      </c>
      <c r="W29" s="233"/>
      <c r="X29" s="233"/>
    </row>
    <row r="30" spans="1:24" ht="30" customHeight="1" x14ac:dyDescent="0.25">
      <c r="A30" s="331"/>
      <c r="B30" s="331"/>
      <c r="C30" s="2" t="s">
        <v>22</v>
      </c>
      <c r="D30" s="326" t="s">
        <v>219</v>
      </c>
      <c r="E30" s="221">
        <f>E31/E28*1000</f>
        <v>2645.3991565864058</v>
      </c>
      <c r="F30" s="221">
        <f>F31/F28*1000</f>
        <v>2451.9684292211555</v>
      </c>
      <c r="G30" s="221">
        <f>G31/G28*1000</f>
        <v>2465.2380111745979</v>
      </c>
      <c r="H30" s="611">
        <f>SUM(E31:G31)/SUM(E28:G28)*1000</f>
        <v>2520.7893585612746</v>
      </c>
      <c r="I30" s="221">
        <f>I31/I28*1000</f>
        <v>2596.3291856437063</v>
      </c>
      <c r="J30" s="221">
        <f>J31/J28*1000</f>
        <v>2530.8130154931528</v>
      </c>
      <c r="K30" s="221">
        <f>K31/K28*1000</f>
        <v>2540.8171070650651</v>
      </c>
      <c r="L30" s="611">
        <f>SUM(I31:K31)/SUM(I28:K28)*1000</f>
        <v>2556.2883776772678</v>
      </c>
      <c r="M30" s="221">
        <f>M31/M28*1000</f>
        <v>2583.2476721396733</v>
      </c>
      <c r="N30" s="221">
        <f>N31/N28*1000</f>
        <v>2661.7665918972107</v>
      </c>
      <c r="O30" s="221">
        <f>O31/O28*1000</f>
        <v>2595.1775097514851</v>
      </c>
      <c r="P30" s="611">
        <f>SUM(M31:O31)/SUM(M28:O28)*1000</f>
        <v>2613.0097144491051</v>
      </c>
      <c r="Q30" s="221">
        <f>Q31/Q28*1000</f>
        <v>2629.7688224860908</v>
      </c>
      <c r="R30" s="221">
        <f>R31/R28*1000</f>
        <v>2595.0759016535412</v>
      </c>
      <c r="S30" s="221">
        <f>S31/S28*1000</f>
        <v>2598.3362276401963</v>
      </c>
      <c r="T30" s="611">
        <f>SUM(Q31:S31)/SUM(Q28:S28)*1000</f>
        <v>2608.1111420652228</v>
      </c>
      <c r="U30" s="614" t="s">
        <v>11</v>
      </c>
      <c r="V30" s="603">
        <f>U31/U28*1000</f>
        <v>2574.8310534684488</v>
      </c>
      <c r="W30" s="233"/>
      <c r="X30" s="233"/>
    </row>
    <row r="31" spans="1:24" ht="30" customHeight="1" x14ac:dyDescent="0.25">
      <c r="A31" s="596"/>
      <c r="B31" s="596"/>
      <c r="C31" s="621" t="s">
        <v>26</v>
      </c>
      <c r="D31" s="622" t="s">
        <v>9</v>
      </c>
      <c r="E31" s="623">
        <f>E15</f>
        <v>317548.17</v>
      </c>
      <c r="F31" s="623">
        <f>F15</f>
        <v>285587.55000000005</v>
      </c>
      <c r="G31" s="623">
        <f>G15</f>
        <v>308075.59999999998</v>
      </c>
      <c r="H31" s="624">
        <f>AVERAGE(E31:G31)</f>
        <v>303737.10666666663</v>
      </c>
      <c r="I31" s="623">
        <f>I15</f>
        <v>320265.02</v>
      </c>
      <c r="J31" s="623">
        <f>J15</f>
        <v>308227.53999999998</v>
      </c>
      <c r="K31" s="623">
        <f>K15</f>
        <v>301606.77999999997</v>
      </c>
      <c r="L31" s="624">
        <f>AVERAGE(I31:K31)</f>
        <v>310033.11333333334</v>
      </c>
      <c r="M31" s="623">
        <f>M15</f>
        <v>321871.11</v>
      </c>
      <c r="N31" s="623">
        <f>N15</f>
        <v>313395.60000000003</v>
      </c>
      <c r="O31" s="623">
        <f>O15</f>
        <v>295765.27</v>
      </c>
      <c r="P31" s="624">
        <f>AVERAGE(M31:O31)</f>
        <v>310343.99333333335</v>
      </c>
      <c r="Q31" s="623">
        <f>Q15</f>
        <v>345125.89</v>
      </c>
      <c r="R31" s="623">
        <f>R15</f>
        <v>319433.55</v>
      </c>
      <c r="S31" s="623">
        <f>S15</f>
        <v>329021.86</v>
      </c>
      <c r="T31" s="624">
        <f>AVERAGE(Q31:S31)</f>
        <v>331193.76666666666</v>
      </c>
      <c r="U31" s="625">
        <f>SUM(E31:G31,I31:K31,M31:O31,Q31:S31)</f>
        <v>3765923.94</v>
      </c>
      <c r="V31" s="625">
        <f>AVERAGE(E31:G31,I31:K31,M31:O31,Q31:S31)</f>
        <v>313826.995</v>
      </c>
      <c r="W31" s="233"/>
      <c r="X31" s="233"/>
    </row>
    <row r="32" spans="1:24" ht="33" customHeight="1" thickBot="1" x14ac:dyDescent="0.3">
      <c r="A32" s="331"/>
      <c r="B32" s="331"/>
      <c r="C32" s="2" t="s">
        <v>20</v>
      </c>
      <c r="D32" s="326" t="s">
        <v>9</v>
      </c>
      <c r="E32" s="221">
        <f>E31/E7</f>
        <v>15121.341428571428</v>
      </c>
      <c r="F32" s="221">
        <f>F31/E7</f>
        <v>13599.407142857144</v>
      </c>
      <c r="G32" s="221">
        <f>G31/E7</f>
        <v>14670.266666666666</v>
      </c>
      <c r="H32" s="612">
        <f>SUM(E31:G31)/SUM(E7:G7)</f>
        <v>14237.676874999999</v>
      </c>
      <c r="I32" s="221">
        <f>I31/I7</f>
        <v>16013.251</v>
      </c>
      <c r="J32" s="221">
        <f>J31/J7</f>
        <v>14677.501904761904</v>
      </c>
      <c r="K32" s="221">
        <f>K31/K7</f>
        <v>15080.338999999998</v>
      </c>
      <c r="L32" s="612">
        <f>SUM(I31:K31)/SUM(I7:K7)</f>
        <v>15247.530163934427</v>
      </c>
      <c r="M32" s="221">
        <f>M31/M7</f>
        <v>14630.504999999999</v>
      </c>
      <c r="N32" s="221">
        <f>N31/N7</f>
        <v>14245.254545454547</v>
      </c>
      <c r="O32" s="221">
        <f>O31/O7</f>
        <v>14788.263500000001</v>
      </c>
      <c r="P32" s="612">
        <f>SUM(M31:O31)/SUM(M7:O7)</f>
        <v>14547.3746875</v>
      </c>
      <c r="Q32" s="221">
        <f>Q31/Q7</f>
        <v>15005.47347826087</v>
      </c>
      <c r="R32" s="221">
        <f>R31/R7</f>
        <v>15211.121428571429</v>
      </c>
      <c r="S32" s="221">
        <f>S31/S7</f>
        <v>17316.939999999999</v>
      </c>
      <c r="T32" s="612">
        <f>SUM(Q31:S31)/SUM(Q7:S7)</f>
        <v>15771.131746031744</v>
      </c>
      <c r="U32" s="580" t="s">
        <v>11</v>
      </c>
      <c r="V32" s="581">
        <f>U31/U7</f>
        <v>14944.14261904762</v>
      </c>
      <c r="W32" s="233"/>
      <c r="X32" s="233"/>
    </row>
    <row r="33" spans="1:24" s="135" customFormat="1" ht="30" customHeight="1" x14ac:dyDescent="0.25">
      <c r="A33" s="325"/>
      <c r="B33" s="119"/>
      <c r="C33" s="2"/>
      <c r="D33" s="326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50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5">
    <mergeCell ref="B5:C6"/>
    <mergeCell ref="B7:C7"/>
    <mergeCell ref="B8:C8"/>
    <mergeCell ref="B11:B12"/>
    <mergeCell ref="B13:B14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43" orientation="landscape" r:id="rId1"/>
  <headerFooter alignWithMargins="0"/>
  <ignoredErrors>
    <ignoredError sqref="H30:H31 H28 H26 H24 H20:H22 H18 H14:H16 H12 H10 L28:L32 L26 L24 L20:L22 L14:L15 L12 L10 P28:P32 P26 P24 P20:P22 P18 P14:P16 P12 P10 T26 T24 T22 T20 T18 T16 T14 T12 T10 V10 V12 V14 V20 V26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2057"/>
  <sheetViews>
    <sheetView view="pageBreakPreview" topLeftCell="B5" zoomScale="60" zoomScaleNormal="100" workbookViewId="0">
      <pane xSplit="3" ySplit="2" topLeftCell="E7" activePane="bottomRight" state="frozen"/>
      <selection activeCell="C34" sqref="C34"/>
      <selection pane="topRight" activeCell="C34" sqref="C34"/>
      <selection pane="bottomLeft" activeCell="C34" sqref="C34"/>
      <selection pane="bottomRight"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37.8984375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5.89843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</row>
    <row r="3" spans="1:24" ht="19.5" customHeight="1" x14ac:dyDescent="0.4">
      <c r="A3" s="408" t="s">
        <v>42</v>
      </c>
      <c r="B3" s="4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4" s="134" customFormat="1" ht="24" customHeight="1" thickBot="1" x14ac:dyDescent="0.3">
      <c r="A4" s="409" t="s">
        <v>235</v>
      </c>
      <c r="B4" s="1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4" ht="42" customHeight="1" thickTop="1" thickBot="1" x14ac:dyDescent="0.45">
      <c r="A5" s="112" t="s">
        <v>1</v>
      </c>
      <c r="B5" s="993" t="s">
        <v>2</v>
      </c>
      <c r="C5" s="993"/>
      <c r="D5" s="88" t="s">
        <v>3</v>
      </c>
      <c r="E5" s="142" t="s">
        <v>236</v>
      </c>
      <c r="F5" s="143" t="s">
        <v>237</v>
      </c>
      <c r="G5" s="142" t="s">
        <v>238</v>
      </c>
      <c r="H5" s="144" t="s">
        <v>239</v>
      </c>
      <c r="I5" s="143" t="s">
        <v>240</v>
      </c>
      <c r="J5" s="143" t="s">
        <v>241</v>
      </c>
      <c r="K5" s="143" t="s">
        <v>242</v>
      </c>
      <c r="L5" s="144" t="s">
        <v>243</v>
      </c>
      <c r="M5" s="143" t="s">
        <v>244</v>
      </c>
      <c r="N5" s="143" t="s">
        <v>245</v>
      </c>
      <c r="O5" s="143" t="s">
        <v>246</v>
      </c>
      <c r="P5" s="144" t="s">
        <v>247</v>
      </c>
      <c r="Q5" s="143" t="s">
        <v>248</v>
      </c>
      <c r="R5" s="143" t="s">
        <v>249</v>
      </c>
      <c r="S5" s="143" t="s">
        <v>250</v>
      </c>
      <c r="T5" s="144" t="s">
        <v>251</v>
      </c>
      <c r="U5" s="138" t="s">
        <v>46</v>
      </c>
      <c r="V5" s="139" t="s">
        <v>58</v>
      </c>
      <c r="W5" s="233"/>
      <c r="X5" s="233"/>
    </row>
    <row r="6" spans="1:24" ht="44.25" customHeight="1" thickTop="1" thickBot="1" x14ac:dyDescent="0.4">
      <c r="A6" s="102"/>
      <c r="B6" s="993"/>
      <c r="C6" s="993"/>
      <c r="D6" s="89" t="s">
        <v>4</v>
      </c>
      <c r="E6" s="16"/>
      <c r="F6" s="54"/>
      <c r="G6" s="16"/>
      <c r="H6" s="136" t="s">
        <v>45</v>
      </c>
      <c r="I6" s="237"/>
      <c r="J6" s="237"/>
      <c r="K6" s="237"/>
      <c r="L6" s="238" t="s">
        <v>45</v>
      </c>
      <c r="M6" s="237"/>
      <c r="N6" s="237"/>
      <c r="O6" s="237"/>
      <c r="P6" s="238" t="s">
        <v>45</v>
      </c>
      <c r="Q6" s="237"/>
      <c r="R6" s="237"/>
      <c r="S6" s="237"/>
      <c r="T6" s="238" t="s">
        <v>45</v>
      </c>
      <c r="U6" s="140" t="s">
        <v>53</v>
      </c>
      <c r="V6" s="141" t="s">
        <v>53</v>
      </c>
      <c r="W6" s="233"/>
      <c r="X6" s="233"/>
    </row>
    <row r="7" spans="1:24" ht="30" customHeight="1" thickTop="1" thickBot="1" x14ac:dyDescent="0.3">
      <c r="A7" s="103" t="s">
        <v>5</v>
      </c>
      <c r="B7" s="994" t="s">
        <v>6</v>
      </c>
      <c r="C7" s="994"/>
      <c r="D7" s="90"/>
      <c r="E7" s="184">
        <v>20</v>
      </c>
      <c r="F7" s="185">
        <v>20</v>
      </c>
      <c r="G7" s="184">
        <v>23</v>
      </c>
      <c r="H7" s="186">
        <v>21</v>
      </c>
      <c r="I7" s="185">
        <v>20</v>
      </c>
      <c r="J7" s="185">
        <v>21</v>
      </c>
      <c r="K7" s="185">
        <v>21</v>
      </c>
      <c r="L7" s="186">
        <f>AVERAGE(I7:K7)</f>
        <v>20.666666666666668</v>
      </c>
      <c r="M7" s="185">
        <v>21</v>
      </c>
      <c r="N7" s="185">
        <v>22</v>
      </c>
      <c r="O7" s="185">
        <v>22</v>
      </c>
      <c r="P7" s="186">
        <v>21.666666666666668</v>
      </c>
      <c r="Q7" s="185">
        <v>21</v>
      </c>
      <c r="R7" s="185">
        <v>20</v>
      </c>
      <c r="S7" s="185">
        <v>21</v>
      </c>
      <c r="T7" s="186">
        <f t="shared" ref="T7:T15" si="0">AVERAGE(Q7:S7)</f>
        <v>20.666666666666668</v>
      </c>
      <c r="U7" s="240">
        <f>SUM(E7:G7,I7:K7,M7:O7,Q7:S7)</f>
        <v>252</v>
      </c>
      <c r="V7" s="423">
        <f>AVERAGE(E7:G7,I7:K7,M7:O7,Q7:S7)</f>
        <v>21</v>
      </c>
      <c r="W7" s="233"/>
      <c r="X7" s="233"/>
    </row>
    <row r="8" spans="1:24" ht="30" customHeight="1" thickTop="1" thickBot="1" x14ac:dyDescent="0.3">
      <c r="A8" s="103" t="s">
        <v>7</v>
      </c>
      <c r="B8" s="994" t="s">
        <v>40</v>
      </c>
      <c r="C8" s="994"/>
      <c r="D8" s="90"/>
      <c r="E8" s="184">
        <v>52</v>
      </c>
      <c r="F8" s="185">
        <v>52</v>
      </c>
      <c r="G8" s="184">
        <v>51</v>
      </c>
      <c r="H8" s="186">
        <v>51.666666666666664</v>
      </c>
      <c r="I8" s="185">
        <v>51</v>
      </c>
      <c r="J8" s="185">
        <v>51</v>
      </c>
      <c r="K8" s="185">
        <v>51</v>
      </c>
      <c r="L8" s="186">
        <f>AVERAGE(I8:K8)</f>
        <v>51</v>
      </c>
      <c r="M8" s="185">
        <v>51</v>
      </c>
      <c r="N8" s="185">
        <v>51</v>
      </c>
      <c r="O8" s="185">
        <v>50</v>
      </c>
      <c r="P8" s="186">
        <v>50.666666666666664</v>
      </c>
      <c r="Q8" s="185">
        <v>50</v>
      </c>
      <c r="R8" s="185">
        <v>50</v>
      </c>
      <c r="S8" s="185">
        <v>50</v>
      </c>
      <c r="T8" s="186">
        <f t="shared" si="0"/>
        <v>50</v>
      </c>
      <c r="U8" s="242" t="s">
        <v>11</v>
      </c>
      <c r="V8" s="423">
        <f>AVERAGE(E8:G8,I8:K8,M8:O8,Q8:S8)</f>
        <v>50.833333333333336</v>
      </c>
      <c r="W8" s="233"/>
      <c r="X8" s="233"/>
    </row>
    <row r="9" spans="1:24" ht="44.25" customHeight="1" thickTop="1" x14ac:dyDescent="0.35">
      <c r="A9" s="104" t="s">
        <v>12</v>
      </c>
      <c r="B9" s="129" t="s">
        <v>27</v>
      </c>
      <c r="C9" s="30" t="s">
        <v>181</v>
      </c>
      <c r="D9" s="91" t="s">
        <v>9</v>
      </c>
      <c r="E9" s="187">
        <v>117000.1</v>
      </c>
      <c r="F9" s="188">
        <v>113466.05</v>
      </c>
      <c r="G9" s="187">
        <v>133829.54</v>
      </c>
      <c r="H9" s="189">
        <v>121431.89666666668</v>
      </c>
      <c r="I9" s="188">
        <v>128393.57</v>
      </c>
      <c r="J9" s="188">
        <v>131870.59</v>
      </c>
      <c r="K9" s="188">
        <v>132463.82999999999</v>
      </c>
      <c r="L9" s="189">
        <f>AVERAGE(I9:K9)</f>
        <v>130909.33</v>
      </c>
      <c r="M9" s="188">
        <v>133440.51</v>
      </c>
      <c r="N9" s="188">
        <v>136354.4</v>
      </c>
      <c r="O9" s="188">
        <v>135822.92000000001</v>
      </c>
      <c r="P9" s="189">
        <v>135205.94333333336</v>
      </c>
      <c r="Q9" s="422">
        <v>137948.31</v>
      </c>
      <c r="R9" s="422">
        <v>139090.42000000001</v>
      </c>
      <c r="S9" s="424">
        <v>155584.71</v>
      </c>
      <c r="T9" s="189">
        <f t="shared" si="0"/>
        <v>144207.81333333332</v>
      </c>
      <c r="U9" s="243">
        <f>+S9+R9+Q9+O9+N9+M9+K9+J9+I9+G9+F9+E9</f>
        <v>1595264.9500000002</v>
      </c>
      <c r="V9" s="425">
        <f>AVERAGE(E9:G9,I9:K9,M9:O9,Q9:S9)</f>
        <v>132938.74583333332</v>
      </c>
      <c r="W9" s="317"/>
      <c r="X9" s="233"/>
    </row>
    <row r="10" spans="1:24" ht="30" customHeight="1" x14ac:dyDescent="0.25">
      <c r="A10" s="105"/>
      <c r="B10" s="130" t="s">
        <v>28</v>
      </c>
      <c r="C10" s="21" t="s">
        <v>10</v>
      </c>
      <c r="D10" s="92"/>
      <c r="E10" s="465">
        <f>E9/E15</f>
        <v>0.43892051156329476</v>
      </c>
      <c r="F10" s="479">
        <f>F9/F15</f>
        <v>0.44419470318426307</v>
      </c>
      <c r="G10" s="465">
        <f>G9/G15</f>
        <v>0.44412638268122179</v>
      </c>
      <c r="H10" s="445">
        <v>0.4424621293846962</v>
      </c>
      <c r="I10" s="450">
        <f>I9/I15</f>
        <v>0.44420185487779862</v>
      </c>
      <c r="J10" s="450">
        <f>J9/J15</f>
        <v>0.44755671509570449</v>
      </c>
      <c r="K10" s="450">
        <f>K9/K15</f>
        <v>0.44177558769195302</v>
      </c>
      <c r="L10" s="445">
        <f>SUM(I9:K9)/SUM(I15:K15)</f>
        <v>0.44449725137600971</v>
      </c>
      <c r="M10" s="450">
        <v>0.44298276845444917</v>
      </c>
      <c r="N10" s="450">
        <v>0.43503336504119605</v>
      </c>
      <c r="O10" s="450">
        <v>0.438984388690697</v>
      </c>
      <c r="P10" s="445">
        <v>0.43894765194972507</v>
      </c>
      <c r="Q10" s="453">
        <f>Q9/Q15</f>
        <v>0.4393528608193345</v>
      </c>
      <c r="R10" s="453">
        <f>R9/R15</f>
        <v>0.44026103991818871</v>
      </c>
      <c r="S10" s="467">
        <f>S9/S15</f>
        <v>0.44180806079649182</v>
      </c>
      <c r="T10" s="445">
        <f t="shared" si="0"/>
        <v>0.44047398717800501</v>
      </c>
      <c r="U10" s="468" t="s">
        <v>11</v>
      </c>
      <c r="V10" s="469">
        <f>U9/U15</f>
        <v>0.44153451041940145</v>
      </c>
      <c r="W10" s="402"/>
      <c r="X10" s="402"/>
    </row>
    <row r="11" spans="1:24" ht="40.5" customHeight="1" x14ac:dyDescent="0.35">
      <c r="A11" s="105"/>
      <c r="B11" s="991" t="s">
        <v>29</v>
      </c>
      <c r="C11" s="24" t="s">
        <v>181</v>
      </c>
      <c r="D11" s="93" t="s">
        <v>9</v>
      </c>
      <c r="E11" s="194">
        <v>97125.4</v>
      </c>
      <c r="F11" s="195">
        <v>91919.26</v>
      </c>
      <c r="G11" s="194">
        <v>109150.76</v>
      </c>
      <c r="H11" s="196">
        <v>99398.473333333328</v>
      </c>
      <c r="I11" s="195">
        <v>104393.31</v>
      </c>
      <c r="J11" s="195">
        <v>106541.14</v>
      </c>
      <c r="K11" s="195">
        <v>109116.56</v>
      </c>
      <c r="L11" s="196">
        <f>AVERAGE(I11:K11)</f>
        <v>106683.67</v>
      </c>
      <c r="M11" s="195">
        <v>108616.32000000001</v>
      </c>
      <c r="N11" s="195">
        <v>118003.04</v>
      </c>
      <c r="O11" s="195">
        <v>114438.61</v>
      </c>
      <c r="P11" s="196">
        <v>113685.98999999999</v>
      </c>
      <c r="Q11" s="426">
        <v>116101.85</v>
      </c>
      <c r="R11" s="426">
        <v>115737.18</v>
      </c>
      <c r="S11" s="427">
        <v>127776.87</v>
      </c>
      <c r="T11" s="196">
        <f t="shared" si="0"/>
        <v>119871.96666666667</v>
      </c>
      <c r="U11" s="248">
        <f>+S11+R11+Q11+O11+N11+M11+K11+J11+I11+G11+F11+E11</f>
        <v>1318920.3</v>
      </c>
      <c r="V11" s="443">
        <f>AVERAGE(E11:G11,I11:K11,M11:O11,Q11:S11)</f>
        <v>109910.02499999998</v>
      </c>
      <c r="W11" s="402"/>
      <c r="X11" s="233"/>
    </row>
    <row r="12" spans="1:24" ht="30" customHeight="1" x14ac:dyDescent="0.25">
      <c r="A12" s="105"/>
      <c r="B12" s="991"/>
      <c r="C12" s="22" t="s">
        <v>10</v>
      </c>
      <c r="D12" s="94"/>
      <c r="E12" s="458">
        <f>E11/E15</f>
        <v>0.36436148562086379</v>
      </c>
      <c r="F12" s="451">
        <v>0.35984374544295056</v>
      </c>
      <c r="G12" s="458">
        <v>0.36222744399858348</v>
      </c>
      <c r="H12" s="445">
        <v>0.36217881278245101</v>
      </c>
      <c r="I12" s="451">
        <f>I11/I15</f>
        <v>0.36116841317546539</v>
      </c>
      <c r="J12" s="451">
        <f>J11/J15</f>
        <v>0.36159087967189324</v>
      </c>
      <c r="K12" s="451">
        <f>K11/K15</f>
        <v>0.3639109062521011</v>
      </c>
      <c r="L12" s="445">
        <f>SUM(I11:K11)/SUM(I15:K15)</f>
        <v>0.36224001819965979</v>
      </c>
      <c r="M12" s="451">
        <v>0.36057384772386109</v>
      </c>
      <c r="N12" s="451">
        <v>0.37648407074719159</v>
      </c>
      <c r="O12" s="451">
        <v>0.36986955701926505</v>
      </c>
      <c r="P12" s="445">
        <v>0.36908287564735437</v>
      </c>
      <c r="Q12" s="459">
        <f>Q11/O15</f>
        <v>0.37524520639159425</v>
      </c>
      <c r="R12" s="459">
        <f>R11/P15</f>
        <v>0.37574208760213529</v>
      </c>
      <c r="S12" s="470">
        <f>S11/Q15</f>
        <v>0.40695774657217759</v>
      </c>
      <c r="T12" s="447">
        <f t="shared" si="0"/>
        <v>0.38598168018863571</v>
      </c>
      <c r="U12" s="471" t="s">
        <v>11</v>
      </c>
      <c r="V12" s="472">
        <f>U11/U15</f>
        <v>0.36504834444128548</v>
      </c>
      <c r="W12" s="402"/>
      <c r="X12" s="233"/>
    </row>
    <row r="13" spans="1:24" ht="46.5" customHeight="1" x14ac:dyDescent="0.35">
      <c r="A13" s="105"/>
      <c r="B13" s="991" t="s">
        <v>30</v>
      </c>
      <c r="C13" s="23" t="s">
        <v>181</v>
      </c>
      <c r="D13" s="95" t="s">
        <v>9</v>
      </c>
      <c r="E13" s="200">
        <v>51063.22</v>
      </c>
      <c r="F13" s="201">
        <v>48656.69</v>
      </c>
      <c r="G13" s="200">
        <v>56781.17</v>
      </c>
      <c r="H13" s="318">
        <v>52167.026666666672</v>
      </c>
      <c r="I13" s="201">
        <v>54828.59</v>
      </c>
      <c r="J13" s="201">
        <v>54726.97</v>
      </c>
      <c r="K13" s="201">
        <v>56762.36</v>
      </c>
      <c r="L13" s="196">
        <f>AVERAGE(I13:K13)</f>
        <v>55439.306666666664</v>
      </c>
      <c r="M13" s="201">
        <v>57780.11</v>
      </c>
      <c r="N13" s="201">
        <v>57563.25</v>
      </c>
      <c r="O13" s="201">
        <v>57672.87</v>
      </c>
      <c r="P13" s="196">
        <v>57672.076666666668</v>
      </c>
      <c r="Q13" s="428">
        <v>58415.95</v>
      </c>
      <c r="R13" s="428">
        <v>59605.599999999999</v>
      </c>
      <c r="S13" s="429">
        <v>67302.960000000006</v>
      </c>
      <c r="T13" s="202">
        <f t="shared" si="0"/>
        <v>61774.83666666667</v>
      </c>
      <c r="U13" s="248">
        <f>+S13+R13+Q13+O13+N13+M13+K13+J13+I13+G13+F13+E13</f>
        <v>681159.74</v>
      </c>
      <c r="V13" s="425">
        <f>AVERAGE(E13:G13,I13:K13,M13:O13,Q13:S13)</f>
        <v>56763.311666666654</v>
      </c>
      <c r="W13" s="402"/>
      <c r="X13" s="233"/>
    </row>
    <row r="14" spans="1:24" ht="30" customHeight="1" thickBot="1" x14ac:dyDescent="0.3">
      <c r="A14" s="106"/>
      <c r="B14" s="992"/>
      <c r="C14" s="31" t="s">
        <v>10</v>
      </c>
      <c r="D14" s="96"/>
      <c r="E14" s="473">
        <f>E13/E15</f>
        <v>0.19156132896013819</v>
      </c>
      <c r="F14" s="449">
        <v>0.19048027116902988</v>
      </c>
      <c r="G14" s="473">
        <v>0.18843385127459533</v>
      </c>
      <c r="H14" s="445">
        <v>0.19008130759879341</v>
      </c>
      <c r="I14" s="449">
        <f>I13/I15</f>
        <v>0.18968988383401378</v>
      </c>
      <c r="J14" s="449">
        <f>J13/J15</f>
        <v>0.18573832816203498</v>
      </c>
      <c r="K14" s="449">
        <f>K13/K15</f>
        <v>0.18930620492992095</v>
      </c>
      <c r="L14" s="445">
        <f>SUM(I13:K13)/SUM(I15:K15)</f>
        <v>0.18824188796570132</v>
      </c>
      <c r="M14" s="449">
        <v>0.19181276427527594</v>
      </c>
      <c r="N14" s="449">
        <v>0.18365329135112346</v>
      </c>
      <c r="O14" s="449">
        <v>0.1864007163223117</v>
      </c>
      <c r="P14" s="445">
        <v>0.18723306100151851</v>
      </c>
      <c r="Q14" s="449">
        <f>Q13/Q15</f>
        <v>0.18604950470200904</v>
      </c>
      <c r="R14" s="449">
        <f>R13/R15</f>
        <v>0.18866880580954165</v>
      </c>
      <c r="S14" s="449">
        <f>S13/S15</f>
        <v>0.19111768915765479</v>
      </c>
      <c r="T14" s="446">
        <f t="shared" si="0"/>
        <v>0.18861199988973518</v>
      </c>
      <c r="U14" s="474" t="s">
        <v>11</v>
      </c>
      <c r="V14" s="475">
        <f>U13/U15</f>
        <v>0.18853014498833359</v>
      </c>
      <c r="W14" s="233"/>
      <c r="X14" s="233"/>
    </row>
    <row r="15" spans="1:24" ht="30" customHeight="1" thickTop="1" x14ac:dyDescent="0.25">
      <c r="A15" s="104" t="s">
        <v>17</v>
      </c>
      <c r="B15" s="113" t="s">
        <v>13</v>
      </c>
      <c r="C15" s="114" t="s">
        <v>8</v>
      </c>
      <c r="D15" s="115" t="s">
        <v>9</v>
      </c>
      <c r="E15" s="206">
        <v>266563.3</v>
      </c>
      <c r="F15" s="403">
        <v>255442.15</v>
      </c>
      <c r="G15" s="206">
        <v>301332.11</v>
      </c>
      <c r="H15" s="208">
        <v>274445.85333333333</v>
      </c>
      <c r="I15" s="207">
        <f>I17+I19</f>
        <v>289043.3</v>
      </c>
      <c r="J15" s="207">
        <f>J17+J19</f>
        <v>294645.53999999998</v>
      </c>
      <c r="K15" s="207">
        <f>K17+K19</f>
        <v>299844.15999999997</v>
      </c>
      <c r="L15" s="208">
        <f>AVERAGE(I15:K15)</f>
        <v>294511</v>
      </c>
      <c r="M15" s="207">
        <v>301231.83</v>
      </c>
      <c r="N15" s="207">
        <v>313434.34999999998</v>
      </c>
      <c r="O15" s="207">
        <v>309402.62</v>
      </c>
      <c r="P15" s="208">
        <v>308022.93333333329</v>
      </c>
      <c r="Q15" s="207">
        <f>Q17+Q19</f>
        <v>313980.68</v>
      </c>
      <c r="R15" s="207">
        <f>R17+R19</f>
        <v>315927.16000000003</v>
      </c>
      <c r="S15" s="207">
        <f>S17+S19</f>
        <v>352154.52999999997</v>
      </c>
      <c r="T15" s="208">
        <f t="shared" si="0"/>
        <v>327354.12333333335</v>
      </c>
      <c r="U15" s="257">
        <f>+S15+R15+Q15+O15+N15+M15+K15+J15+I15+G15+F15+E15</f>
        <v>3613001.7299999995</v>
      </c>
      <c r="V15" s="430">
        <f>AVERAGE(E15:G15,I15:K15,M15:O15,Q15:S15)</f>
        <v>301083.47749999998</v>
      </c>
      <c r="W15" s="317"/>
      <c r="X15" s="233"/>
    </row>
    <row r="16" spans="1:24" ht="30" customHeight="1" x14ac:dyDescent="0.25">
      <c r="A16" s="105"/>
      <c r="B16" s="10" t="s">
        <v>14</v>
      </c>
      <c r="C16" s="12" t="s">
        <v>15</v>
      </c>
      <c r="D16" s="98" t="s">
        <v>9</v>
      </c>
      <c r="E16" s="209">
        <v>13328.164999999999</v>
      </c>
      <c r="F16" s="404">
        <v>12772.1075</v>
      </c>
      <c r="G16" s="209">
        <v>13101.396086956522</v>
      </c>
      <c r="H16" s="211">
        <v>13068.850158730158</v>
      </c>
      <c r="I16" s="210">
        <f>I15/I7</f>
        <v>14452.164999999999</v>
      </c>
      <c r="J16" s="210">
        <f>J15/J7</f>
        <v>14030.74</v>
      </c>
      <c r="K16" s="210">
        <f>K15/K7</f>
        <v>14278.293333333331</v>
      </c>
      <c r="L16" s="211">
        <f>SUM(I15:K15)/SUM(I7:K7)</f>
        <v>14250.532258064517</v>
      </c>
      <c r="M16" s="210">
        <v>14344.372857142858</v>
      </c>
      <c r="N16" s="210">
        <v>14247.015909090907</v>
      </c>
      <c r="O16" s="210">
        <v>14063.755454545455</v>
      </c>
      <c r="P16" s="211">
        <v>14216.443076923077</v>
      </c>
      <c r="Q16" s="210">
        <f>Q15/O7</f>
        <v>14271.849090909091</v>
      </c>
      <c r="R16" s="210">
        <f>R15/R7</f>
        <v>15796.358000000002</v>
      </c>
      <c r="S16" s="210">
        <f>S15/S7</f>
        <v>16769.263333333332</v>
      </c>
      <c r="T16" s="211">
        <f>SUM(Q15:S15)/SUM(Q7:S7)</f>
        <v>15839.715645161292</v>
      </c>
      <c r="U16" s="259" t="s">
        <v>11</v>
      </c>
      <c r="V16" s="431">
        <f>U15/U7</f>
        <v>14337.30845238095</v>
      </c>
      <c r="W16" s="233"/>
      <c r="X16" s="233"/>
    </row>
    <row r="17" spans="1:24" s="27" customFormat="1" ht="40.5" customHeight="1" x14ac:dyDescent="0.35">
      <c r="A17" s="107"/>
      <c r="B17" s="15" t="s">
        <v>36</v>
      </c>
      <c r="C17" s="23" t="s">
        <v>8</v>
      </c>
      <c r="D17" s="95" t="s">
        <v>9</v>
      </c>
      <c r="E17" s="200">
        <v>265188.71999999997</v>
      </c>
      <c r="F17" s="405">
        <v>254042</v>
      </c>
      <c r="G17" s="200">
        <v>299761.46999999997</v>
      </c>
      <c r="H17" s="202">
        <v>272997.39666666667</v>
      </c>
      <c r="I17" s="201">
        <f>I9+I11+I13</f>
        <v>287615.46999999997</v>
      </c>
      <c r="J17" s="201">
        <f>J9+J11+J13</f>
        <v>293138.69999999995</v>
      </c>
      <c r="K17" s="201">
        <f>K9+K11+K13</f>
        <v>298342.75</v>
      </c>
      <c r="L17" s="202">
        <f>AVERAGE(I17:K17)</f>
        <v>293032.30666666664</v>
      </c>
      <c r="M17" s="201">
        <v>299836.94</v>
      </c>
      <c r="N17" s="201">
        <v>311920.69</v>
      </c>
      <c r="O17" s="201">
        <v>307934.40000000002</v>
      </c>
      <c r="P17" s="202">
        <v>306564.01</v>
      </c>
      <c r="Q17" s="201">
        <f>Q9+Q11+Q13</f>
        <v>312466.11</v>
      </c>
      <c r="R17" s="201">
        <f>R9+R11+R13</f>
        <v>314433.2</v>
      </c>
      <c r="S17" s="201">
        <f>S9+S11+S13</f>
        <v>350664.54</v>
      </c>
      <c r="T17" s="202">
        <f>AVERAGE(Q17:S17)</f>
        <v>325854.6166666667</v>
      </c>
      <c r="U17" s="248">
        <f>+S17+R17+Q17+O17+N17+M17+K17+J17+I17+G17+F17+E17</f>
        <v>3595344.9899999993</v>
      </c>
      <c r="V17" s="425">
        <f>AVERAGE(E17:G17,I17:K17,M17:O17,Q17:S17)</f>
        <v>299612.08249999996</v>
      </c>
      <c r="W17" s="234"/>
      <c r="X17" s="234"/>
    </row>
    <row r="18" spans="1:24" s="25" customFormat="1" ht="30" customHeight="1" x14ac:dyDescent="0.25">
      <c r="A18" s="108"/>
      <c r="B18" s="9" t="s">
        <v>32</v>
      </c>
      <c r="C18" s="26" t="s">
        <v>10</v>
      </c>
      <c r="D18" s="94"/>
      <c r="E18" s="458">
        <v>0.9948433261442966</v>
      </c>
      <c r="F18" s="459">
        <v>0.99451871979624351</v>
      </c>
      <c r="G18" s="458">
        <v>0.99478767795440048</v>
      </c>
      <c r="H18" s="447">
        <v>0.99472224976594048</v>
      </c>
      <c r="I18" s="451">
        <f>I17/I15</f>
        <v>0.9950601518872777</v>
      </c>
      <c r="J18" s="451">
        <f>J17/J15</f>
        <v>0.99488592292963263</v>
      </c>
      <c r="K18" s="451">
        <f>K17/K15</f>
        <v>0.99499269887397512</v>
      </c>
      <c r="L18" s="447">
        <f>SUM(I17:K17)/SUM(I15:K15)</f>
        <v>0.99497915754137078</v>
      </c>
      <c r="M18" s="451">
        <v>0.99536938045358614</v>
      </c>
      <c r="N18" s="451">
        <v>0.99517072713951116</v>
      </c>
      <c r="O18" s="451">
        <v>0.99525466203227375</v>
      </c>
      <c r="P18" s="447">
        <v>0.99526492320845694</v>
      </c>
      <c r="Q18" s="451">
        <f>Q17/Q15</f>
        <v>0.99517623186241899</v>
      </c>
      <c r="R18" s="451">
        <f>R17/R15</f>
        <v>0.99527118846002349</v>
      </c>
      <c r="S18" s="451">
        <f>S17/S15</f>
        <v>0.99576893132682409</v>
      </c>
      <c r="T18" s="447">
        <f>AVERAGE(Q18:S18)</f>
        <v>0.9954054505497556</v>
      </c>
      <c r="U18" s="471" t="s">
        <v>11</v>
      </c>
      <c r="V18" s="472">
        <f>+U17/U15</f>
        <v>0.99511299984902024</v>
      </c>
      <c r="W18" s="235"/>
      <c r="X18" s="235"/>
    </row>
    <row r="19" spans="1:24" s="27" customFormat="1" ht="40.5" customHeight="1" x14ac:dyDescent="0.35">
      <c r="A19" s="107"/>
      <c r="B19" s="15" t="s">
        <v>36</v>
      </c>
      <c r="C19" s="23" t="s">
        <v>8</v>
      </c>
      <c r="D19" s="95" t="s">
        <v>9</v>
      </c>
      <c r="E19" s="200">
        <v>1374.58</v>
      </c>
      <c r="F19" s="405">
        <v>1400.15</v>
      </c>
      <c r="G19" s="200">
        <v>1570.64</v>
      </c>
      <c r="H19" s="202">
        <v>1448.4566666666667</v>
      </c>
      <c r="I19" s="201">
        <v>1427.83</v>
      </c>
      <c r="J19" s="201">
        <v>1506.84</v>
      </c>
      <c r="K19" s="201">
        <v>1501.41</v>
      </c>
      <c r="L19" s="202">
        <f>AVERAGE(I19:K19)</f>
        <v>1478.6933333333334</v>
      </c>
      <c r="M19" s="201">
        <v>1394.89</v>
      </c>
      <c r="N19" s="201">
        <v>1513.66</v>
      </c>
      <c r="O19" s="201">
        <v>1468.22</v>
      </c>
      <c r="P19" s="202">
        <v>1458.9233333333334</v>
      </c>
      <c r="Q19" s="441">
        <v>1514.57</v>
      </c>
      <c r="R19" s="442">
        <v>1493.96</v>
      </c>
      <c r="S19" s="442">
        <v>1489.99</v>
      </c>
      <c r="T19" s="432">
        <f>AVERAGE(Q19:S19)</f>
        <v>1499.5066666666664</v>
      </c>
      <c r="U19" s="248">
        <f>+S19+R19+Q19+O19+N19+M19+K19+J19+I19+G19+F19+E19</f>
        <v>17656.739999999998</v>
      </c>
      <c r="V19" s="425">
        <f>AVERAGE(E19:G19,I19:K19,M19:O19,Q19:S19)</f>
        <v>1471.3950000000002</v>
      </c>
      <c r="W19" s="234"/>
      <c r="X19" s="234"/>
    </row>
    <row r="20" spans="1:24" s="25" customFormat="1" ht="30" customHeight="1" thickBot="1" x14ac:dyDescent="0.3">
      <c r="A20" s="109"/>
      <c r="B20" s="32" t="s">
        <v>31</v>
      </c>
      <c r="C20" s="33" t="s">
        <v>10</v>
      </c>
      <c r="D20" s="96"/>
      <c r="E20" s="473">
        <f>E19/E15</f>
        <v>5.1566738557033169E-3</v>
      </c>
      <c r="F20" s="455">
        <v>5.4812802037565063E-3</v>
      </c>
      <c r="G20" s="473">
        <v>5.2123220455994558E-3</v>
      </c>
      <c r="H20" s="446">
        <v>5.2777502340595273E-3</v>
      </c>
      <c r="I20" s="449">
        <f>I19/I15</f>
        <v>4.9398481127222111E-3</v>
      </c>
      <c r="J20" s="449">
        <f>J19/J15</f>
        <v>5.1140770703673299E-3</v>
      </c>
      <c r="K20" s="449">
        <f>K19/K15</f>
        <v>5.0073011260249331E-3</v>
      </c>
      <c r="L20" s="446">
        <f>SUM(I19:K19)/SUM(I15:K15)</f>
        <v>5.0208424586291626E-3</v>
      </c>
      <c r="M20" s="449">
        <v>4.6306195464138038E-3</v>
      </c>
      <c r="N20" s="449">
        <v>4.8292728604889673E-3</v>
      </c>
      <c r="O20" s="449">
        <v>4.7453379677263241E-3</v>
      </c>
      <c r="P20" s="446">
        <v>4.7350767915430312E-3</v>
      </c>
      <c r="Q20" s="449">
        <f>Q19/Q15</f>
        <v>4.8237681375809492E-3</v>
      </c>
      <c r="R20" s="449">
        <f>R19/R15</f>
        <v>4.7288115399764926E-3</v>
      </c>
      <c r="S20" s="449">
        <f>S19/S15</f>
        <v>4.2310686731759492E-3</v>
      </c>
      <c r="T20" s="446">
        <f>AVERAGE(Q20:S20)</f>
        <v>4.594549450244464E-3</v>
      </c>
      <c r="U20" s="474" t="s">
        <v>11</v>
      </c>
      <c r="V20" s="475">
        <f>+U19/U15</f>
        <v>4.8870001509797234E-3</v>
      </c>
      <c r="W20" s="235"/>
      <c r="X20" s="235"/>
    </row>
    <row r="21" spans="1:24" ht="30" customHeight="1" thickTop="1" x14ac:dyDescent="0.25">
      <c r="A21" s="104" t="s">
        <v>24</v>
      </c>
      <c r="B21" s="113" t="s">
        <v>37</v>
      </c>
      <c r="C21" s="114" t="s">
        <v>19</v>
      </c>
      <c r="D21" s="115" t="s">
        <v>16</v>
      </c>
      <c r="E21" s="206">
        <v>108142.901</v>
      </c>
      <c r="F21" s="403">
        <v>109020.698</v>
      </c>
      <c r="G21" s="206">
        <v>123096.02399999999</v>
      </c>
      <c r="H21" s="208">
        <v>113419.87433333333</v>
      </c>
      <c r="I21" s="207">
        <f>I23+I25</f>
        <v>115306.68000000001</v>
      </c>
      <c r="J21" s="207">
        <f>J23+J25</f>
        <v>118736.04</v>
      </c>
      <c r="K21" s="207">
        <f>K23+K25</f>
        <v>117607.03</v>
      </c>
      <c r="L21" s="208">
        <f>AVERAGE(I21:K21)</f>
        <v>117216.58333333333</v>
      </c>
      <c r="M21" s="207">
        <v>115378.548</v>
      </c>
      <c r="N21" s="207">
        <v>115135.064</v>
      </c>
      <c r="O21" s="207">
        <v>116004.454</v>
      </c>
      <c r="P21" s="208">
        <v>115506.022</v>
      </c>
      <c r="Q21" s="207">
        <f>Q23+Q25</f>
        <v>119095.966</v>
      </c>
      <c r="R21" s="207">
        <f>R23+R25</f>
        <v>118362.076</v>
      </c>
      <c r="S21" s="207">
        <f>S23+S25</f>
        <v>126206.90399999999</v>
      </c>
      <c r="T21" s="208">
        <f>AVERAGE(Q21:S21)</f>
        <v>121221.64866666666</v>
      </c>
      <c r="U21" s="257">
        <f>+S21+R21+Q21+O21+N21+M21+K21+J21+I21+G21+F21+E21</f>
        <v>1402092.3850000002</v>
      </c>
      <c r="V21" s="430">
        <f>AVERAGE(E21:G21,I21:K21,M21:O21,Q21:S21)</f>
        <v>116841.03208333335</v>
      </c>
      <c r="W21" s="233"/>
      <c r="X21" s="233"/>
    </row>
    <row r="22" spans="1:24" ht="30" customHeight="1" x14ac:dyDescent="0.25">
      <c r="A22" s="105"/>
      <c r="B22" s="10" t="s">
        <v>14</v>
      </c>
      <c r="C22" s="29" t="s">
        <v>38</v>
      </c>
      <c r="D22" s="99" t="s">
        <v>16</v>
      </c>
      <c r="E22" s="212">
        <v>5407.1450500000001</v>
      </c>
      <c r="F22" s="406">
        <v>5451.0349000000006</v>
      </c>
      <c r="G22" s="212">
        <v>5352.0010434782607</v>
      </c>
      <c r="H22" s="214">
        <v>5400.9463968253958</v>
      </c>
      <c r="I22" s="213">
        <f>I21/I7</f>
        <v>5765.3340000000007</v>
      </c>
      <c r="J22" s="213">
        <f>J21/J7</f>
        <v>5654.0971428571429</v>
      </c>
      <c r="K22" s="213">
        <f>K21/K7</f>
        <v>5600.3347619047618</v>
      </c>
      <c r="L22" s="214">
        <f>SUM(I21:K21)/SUM(I7:K7)</f>
        <v>5671.7701612903229</v>
      </c>
      <c r="M22" s="213">
        <v>5494.2165714285711</v>
      </c>
      <c r="N22" s="213">
        <v>5233.4120000000003</v>
      </c>
      <c r="O22" s="213">
        <v>5272.9297272727272</v>
      </c>
      <c r="P22" s="214">
        <v>5331.0471692307692</v>
      </c>
      <c r="Q22" s="213">
        <f>Q21/Q7</f>
        <v>5671.2364761904764</v>
      </c>
      <c r="R22" s="213">
        <f>R21/R7</f>
        <v>5918.1037999999999</v>
      </c>
      <c r="S22" s="213">
        <f>S21/S7</f>
        <v>6009.8525714285715</v>
      </c>
      <c r="T22" s="214">
        <f>SUM(Q21:S21)/SUM(Q7:S7)</f>
        <v>5865.56364516129</v>
      </c>
      <c r="U22" s="262"/>
      <c r="V22" s="433">
        <f>+U21/U7</f>
        <v>5563.8586706349215</v>
      </c>
      <c r="W22" s="233"/>
      <c r="X22" s="233"/>
    </row>
    <row r="23" spans="1:24" s="27" customFormat="1" ht="42.75" customHeight="1" x14ac:dyDescent="0.35">
      <c r="A23" s="107"/>
      <c r="B23" s="15" t="s">
        <v>36</v>
      </c>
      <c r="C23" s="86" t="s">
        <v>19</v>
      </c>
      <c r="D23" s="95" t="s">
        <v>16</v>
      </c>
      <c r="E23" s="200">
        <v>106387.7</v>
      </c>
      <c r="F23" s="201">
        <v>107329.60000000001</v>
      </c>
      <c r="G23" s="200">
        <v>121213.4</v>
      </c>
      <c r="H23" s="202">
        <v>111643.56666666665</v>
      </c>
      <c r="I23" s="201">
        <v>113608.63</v>
      </c>
      <c r="J23" s="201">
        <v>116873.34</v>
      </c>
      <c r="K23" s="201">
        <v>115875.38</v>
      </c>
      <c r="L23" s="421">
        <f>AVERAGE(I23:K23)</f>
        <v>115452.45</v>
      </c>
      <c r="M23" s="201">
        <v>113624.671</v>
      </c>
      <c r="N23" s="201">
        <v>113273.04399999999</v>
      </c>
      <c r="O23" s="201">
        <v>114270.234</v>
      </c>
      <c r="P23" s="202">
        <v>113722.64966666668</v>
      </c>
      <c r="Q23" s="201">
        <v>117270.92</v>
      </c>
      <c r="R23" s="201">
        <v>116623.86</v>
      </c>
      <c r="S23" s="201">
        <v>124425.45</v>
      </c>
      <c r="T23" s="202">
        <f t="shared" ref="T23:T28" si="1">AVERAGE(Q23:S23)</f>
        <v>119440.07666666666</v>
      </c>
      <c r="U23" s="248">
        <f>+S23+R23+Q23+O23+N23+M23+K23+J23+I23+G23+F23+E23</f>
        <v>1380776.2289999998</v>
      </c>
      <c r="V23" s="434">
        <f>+U23/12</f>
        <v>115064.68574999999</v>
      </c>
      <c r="W23" s="234"/>
      <c r="X23" s="234"/>
    </row>
    <row r="24" spans="1:24" s="25" customFormat="1" ht="30" customHeight="1" x14ac:dyDescent="0.25">
      <c r="A24" s="108"/>
      <c r="B24" s="9" t="s">
        <v>32</v>
      </c>
      <c r="C24" s="20" t="s">
        <v>21</v>
      </c>
      <c r="D24" s="94"/>
      <c r="E24" s="458">
        <v>0.98376961424402698</v>
      </c>
      <c r="F24" s="451">
        <v>0.9844882849676857</v>
      </c>
      <c r="G24" s="458">
        <v>0.9847060535440203</v>
      </c>
      <c r="H24" s="447">
        <v>0.98433865601502768</v>
      </c>
      <c r="I24" s="451">
        <f>I23/I21</f>
        <v>0.98527361988047868</v>
      </c>
      <c r="J24" s="451">
        <f>J23/J21</f>
        <v>0.98431226104559322</v>
      </c>
      <c r="K24" s="451">
        <f>K23/K21</f>
        <v>0.98527596522078664</v>
      </c>
      <c r="L24" s="447">
        <f>SUM(I23:K23)/SUM(I21:K21)</f>
        <v>0.98494979734807142</v>
      </c>
      <c r="M24" s="451">
        <v>0.9847989333337771</v>
      </c>
      <c r="N24" s="451">
        <v>0.9838275158295825</v>
      </c>
      <c r="O24" s="451">
        <v>0.98505040159923518</v>
      </c>
      <c r="P24" s="447">
        <v>0.98455895025419826</v>
      </c>
      <c r="Q24" s="451">
        <f>Q23/Q21</f>
        <v>0.9846758369632771</v>
      </c>
      <c r="R24" s="451">
        <f>R23/R21</f>
        <v>0.98531441777009721</v>
      </c>
      <c r="S24" s="451">
        <f>S23/S21</f>
        <v>0.98588465493139743</v>
      </c>
      <c r="T24" s="447">
        <f t="shared" si="1"/>
        <v>0.98529163655492391</v>
      </c>
      <c r="U24" s="476" t="s">
        <v>11</v>
      </c>
      <c r="V24" s="469">
        <f>+U23/U21</f>
        <v>0.98479689624731792</v>
      </c>
      <c r="W24" s="235"/>
      <c r="X24" s="236"/>
    </row>
    <row r="25" spans="1:24" s="27" customFormat="1" ht="37.5" customHeight="1" x14ac:dyDescent="0.35">
      <c r="A25" s="107"/>
      <c r="B25" s="15" t="s">
        <v>36</v>
      </c>
      <c r="C25" s="87" t="s">
        <v>19</v>
      </c>
      <c r="D25" s="95" t="s">
        <v>16</v>
      </c>
      <c r="E25" s="200">
        <v>1755.201</v>
      </c>
      <c r="F25" s="201">
        <v>1691.098</v>
      </c>
      <c r="G25" s="200">
        <v>1882.624</v>
      </c>
      <c r="H25" s="202">
        <v>1776.3076666666666</v>
      </c>
      <c r="I25" s="201">
        <v>1698.05</v>
      </c>
      <c r="J25" s="201">
        <v>1862.7</v>
      </c>
      <c r="K25" s="201">
        <v>1731.65</v>
      </c>
      <c r="L25" s="421">
        <f>AVERAGE(I25:K25)</f>
        <v>1764.1333333333332</v>
      </c>
      <c r="M25" s="401">
        <v>1753.877</v>
      </c>
      <c r="N25" s="201">
        <v>1862.02</v>
      </c>
      <c r="O25" s="201">
        <v>1734.22</v>
      </c>
      <c r="P25" s="202">
        <v>1783.3723333333335</v>
      </c>
      <c r="Q25" s="441">
        <v>1825.046</v>
      </c>
      <c r="R25" s="442">
        <v>1738.2159999999999</v>
      </c>
      <c r="S25" s="442">
        <v>1781.454</v>
      </c>
      <c r="T25" s="432">
        <f t="shared" si="1"/>
        <v>1781.5719999999999</v>
      </c>
      <c r="U25" s="435">
        <f>+S25+R25+Q25+O25+N25+M25+K25+J25+I25+G25+F25+E25</f>
        <v>21316.156000000003</v>
      </c>
      <c r="V25" s="436">
        <f>+U25/12</f>
        <v>1776.3463333333336</v>
      </c>
      <c r="W25" s="234"/>
      <c r="X25" s="234"/>
    </row>
    <row r="26" spans="1:24" s="25" customFormat="1" ht="30" customHeight="1" thickBot="1" x14ac:dyDescent="0.3">
      <c r="A26" s="109"/>
      <c r="B26" s="32" t="s">
        <v>31</v>
      </c>
      <c r="C26" s="33" t="s">
        <v>21</v>
      </c>
      <c r="D26" s="96"/>
      <c r="E26" s="473">
        <v>1.6230385755973017E-2</v>
      </c>
      <c r="F26" s="449">
        <v>1.5511715032314322E-2</v>
      </c>
      <c r="G26" s="473">
        <v>1.5293946455979765E-2</v>
      </c>
      <c r="H26" s="446">
        <v>1.5661343984972324E-2</v>
      </c>
      <c r="I26" s="449">
        <f>I25/I21</f>
        <v>1.4726380119521262E-2</v>
      </c>
      <c r="J26" s="449">
        <f>J25/J21</f>
        <v>1.5687738954406769E-2</v>
      </c>
      <c r="K26" s="449">
        <f>K25/K21</f>
        <v>1.4724034779213455E-2</v>
      </c>
      <c r="L26" s="446">
        <f>SUM(I25:K25)/SUM(I21:K21)</f>
        <v>1.5050202651928517E-2</v>
      </c>
      <c r="M26" s="449">
        <v>1.5201066666222909E-2</v>
      </c>
      <c r="N26" s="449">
        <v>1.6172484170417448E-2</v>
      </c>
      <c r="O26" s="449">
        <v>1.4949598400764853E-2</v>
      </c>
      <c r="P26" s="446">
        <v>1.5441049745801736E-2</v>
      </c>
      <c r="Q26" s="449">
        <f>Q25/Q21</f>
        <v>1.532416303672284E-2</v>
      </c>
      <c r="R26" s="449">
        <f>R25/R21</f>
        <v>1.4685582229902759E-2</v>
      </c>
      <c r="S26" s="449">
        <f>S25/S21</f>
        <v>1.4115345068602587E-2</v>
      </c>
      <c r="T26" s="446">
        <f t="shared" si="1"/>
        <v>1.4708363445076061E-2</v>
      </c>
      <c r="U26" s="477" t="s">
        <v>11</v>
      </c>
      <c r="V26" s="478">
        <f>+U25/U21</f>
        <v>1.5203103752681746E-2</v>
      </c>
      <c r="W26" s="235"/>
      <c r="X26" s="235"/>
    </row>
    <row r="27" spans="1:24" ht="30" customHeight="1" thickTop="1" x14ac:dyDescent="0.25">
      <c r="A27" s="104" t="s">
        <v>33</v>
      </c>
      <c r="B27" s="113" t="s">
        <v>34</v>
      </c>
      <c r="C27" s="177" t="s">
        <v>18</v>
      </c>
      <c r="D27" s="97"/>
      <c r="E27" s="319">
        <v>1777</v>
      </c>
      <c r="F27" s="319">
        <v>1773</v>
      </c>
      <c r="G27" s="319">
        <v>1768</v>
      </c>
      <c r="H27" s="320">
        <v>1772.6666666666667</v>
      </c>
      <c r="I27" s="216">
        <v>1768</v>
      </c>
      <c r="J27" s="216">
        <v>1769</v>
      </c>
      <c r="K27" s="216">
        <v>1770</v>
      </c>
      <c r="L27" s="217">
        <f>AVERAGE(I27:K27)</f>
        <v>1769</v>
      </c>
      <c r="M27" s="216">
        <v>1772</v>
      </c>
      <c r="N27" s="216">
        <v>1775</v>
      </c>
      <c r="O27" s="216">
        <v>1777</v>
      </c>
      <c r="P27" s="217">
        <v>1774.6666666666667</v>
      </c>
      <c r="Q27" s="216">
        <v>1776</v>
      </c>
      <c r="R27" s="216">
        <v>1775</v>
      </c>
      <c r="S27" s="216">
        <v>1776</v>
      </c>
      <c r="T27" s="217">
        <f t="shared" si="1"/>
        <v>1775.6666666666667</v>
      </c>
      <c r="U27" s="269" t="s">
        <v>11</v>
      </c>
      <c r="V27" s="437">
        <f>AVERAGE(E27:G27,I27:K27,M27:O27,Q27:S27)</f>
        <v>1773</v>
      </c>
      <c r="W27" s="233"/>
      <c r="X27" s="233"/>
    </row>
    <row r="28" spans="1:24" ht="30" customHeight="1" x14ac:dyDescent="0.25">
      <c r="A28" s="110"/>
      <c r="B28" s="11"/>
      <c r="C28" s="119" t="s">
        <v>19</v>
      </c>
      <c r="D28" s="120" t="s">
        <v>16</v>
      </c>
      <c r="E28" s="419">
        <v>108142.901</v>
      </c>
      <c r="F28" s="419">
        <v>109020.698</v>
      </c>
      <c r="G28" s="419">
        <v>123096.02399999999</v>
      </c>
      <c r="H28" s="420">
        <v>113419.87433333333</v>
      </c>
      <c r="I28" s="219">
        <v>115306.68</v>
      </c>
      <c r="J28" s="219">
        <v>118736.04</v>
      </c>
      <c r="K28" s="219">
        <v>117607.03</v>
      </c>
      <c r="L28" s="220">
        <v>117216.58333333333</v>
      </c>
      <c r="M28" s="219">
        <v>115378.548</v>
      </c>
      <c r="N28" s="219">
        <v>115135.064</v>
      </c>
      <c r="O28" s="219">
        <v>116004.454</v>
      </c>
      <c r="P28" s="220">
        <v>115506.022</v>
      </c>
      <c r="Q28" s="219">
        <f>Q25+Q23</f>
        <v>119095.966</v>
      </c>
      <c r="R28" s="219">
        <f>R25+R23</f>
        <v>118362.076</v>
      </c>
      <c r="S28" s="219">
        <f>S25+S23</f>
        <v>126206.90399999999</v>
      </c>
      <c r="T28" s="220">
        <f t="shared" si="1"/>
        <v>121221.64866666666</v>
      </c>
      <c r="U28" s="271">
        <f>+S28+R28+Q28+O28+N28+M28+K28+J28+I28+G28+F28+E28</f>
        <v>1402092.3850000002</v>
      </c>
      <c r="V28" s="438">
        <f>AVERAGE(E28:G28,I28:K28,M28:O28,Q28:S28)</f>
        <v>116841.03208333335</v>
      </c>
      <c r="W28" s="233"/>
      <c r="X28" s="233"/>
    </row>
    <row r="29" spans="1:24" ht="30" customHeight="1" x14ac:dyDescent="0.25">
      <c r="A29" s="110"/>
      <c r="B29" s="11"/>
      <c r="C29" s="2" t="s">
        <v>20</v>
      </c>
      <c r="D29" s="100" t="s">
        <v>16</v>
      </c>
      <c r="E29" s="321">
        <v>5407.1450500000001</v>
      </c>
      <c r="F29" s="321">
        <v>5451.0349000000006</v>
      </c>
      <c r="G29" s="321">
        <v>5352.0010434782607</v>
      </c>
      <c r="H29" s="322">
        <v>5400.9463968253958</v>
      </c>
      <c r="I29" s="222">
        <v>5765.3340000000007</v>
      </c>
      <c r="J29" s="222">
        <v>5654.0971428571429</v>
      </c>
      <c r="K29" s="222">
        <v>5600.3347619047618</v>
      </c>
      <c r="L29" s="223">
        <v>5671.7701612903229</v>
      </c>
      <c r="M29" s="222">
        <v>5494.2165714285711</v>
      </c>
      <c r="N29" s="222">
        <v>5233.4120000000003</v>
      </c>
      <c r="O29" s="222">
        <v>5272.9297272727272</v>
      </c>
      <c r="P29" s="223">
        <v>5331.0471692307692</v>
      </c>
      <c r="Q29" s="222">
        <f>Q28/Q7</f>
        <v>5671.2364761904764</v>
      </c>
      <c r="R29" s="222">
        <f>R28/R7</f>
        <v>5918.1037999999999</v>
      </c>
      <c r="S29" s="222">
        <f>S28/S7</f>
        <v>6009.8525714285715</v>
      </c>
      <c r="T29" s="223">
        <f>SUM(Q28:S28)/SUM(Q7:S7)</f>
        <v>5865.56364516129</v>
      </c>
      <c r="U29" s="273" t="s">
        <v>25</v>
      </c>
      <c r="V29" s="438">
        <f>U28/U7</f>
        <v>5563.8586706349215</v>
      </c>
      <c r="W29" s="233"/>
      <c r="X29" s="233"/>
    </row>
    <row r="30" spans="1:24" ht="30" customHeight="1" x14ac:dyDescent="0.25">
      <c r="A30" s="110"/>
      <c r="B30" s="11"/>
      <c r="C30" s="2" t="s">
        <v>22</v>
      </c>
      <c r="D30" s="100" t="s">
        <v>219</v>
      </c>
      <c r="E30" s="321">
        <v>2465</v>
      </c>
      <c r="F30" s="321">
        <v>2343</v>
      </c>
      <c r="G30" s="321">
        <v>2448</v>
      </c>
      <c r="H30" s="322">
        <v>2419</v>
      </c>
      <c r="I30" s="222">
        <f>+I31/I28*1000</f>
        <v>2506.7350824774421</v>
      </c>
      <c r="J30" s="222">
        <f>+J31/J28*1000</f>
        <v>2481.5173219521216</v>
      </c>
      <c r="K30" s="222">
        <f>+K31/K28*1000</f>
        <v>2549.542829199921</v>
      </c>
      <c r="L30" s="223">
        <f>+L31/L28*1000</f>
        <v>2512.5369774896758</v>
      </c>
      <c r="M30" s="222">
        <f>M31/M28*1000</f>
        <v>2610.8131469985219</v>
      </c>
      <c r="N30" s="222">
        <f>N31/N28*1000</f>
        <v>2722.3188063716193</v>
      </c>
      <c r="O30" s="222">
        <f>O31/O28*1000</f>
        <v>2667.1615557106111</v>
      </c>
      <c r="P30" s="223">
        <f>SUM(M31:O31)/SUM(M28:O28)*1000</f>
        <v>2666.7261844870159</v>
      </c>
      <c r="Q30" s="222">
        <f>Q31/Q28*1000</f>
        <v>2636.367045379186</v>
      </c>
      <c r="R30" s="222">
        <f>R31/R28*1000</f>
        <v>2669.1586585554651</v>
      </c>
      <c r="S30" s="222">
        <f>S31/S28*1000</f>
        <v>2790.295291610988</v>
      </c>
      <c r="T30" s="223">
        <f>SUM(Q31:S31)/SUM(Q28:S28)*1000</f>
        <v>2700.4592573516834</v>
      </c>
      <c r="U30" s="262" t="s">
        <v>11</v>
      </c>
      <c r="V30" s="438">
        <f>U15/U28*1000</f>
        <v>2576.8642413673756</v>
      </c>
      <c r="W30" s="233"/>
      <c r="X30" s="233"/>
    </row>
    <row r="31" spans="1:24" ht="30" customHeight="1" x14ac:dyDescent="0.25">
      <c r="A31" s="110"/>
      <c r="B31" s="11"/>
      <c r="C31" s="124" t="s">
        <v>26</v>
      </c>
      <c r="D31" s="125" t="s">
        <v>9</v>
      </c>
      <c r="E31" s="419">
        <v>266563.3</v>
      </c>
      <c r="F31" s="419">
        <v>255442.15</v>
      </c>
      <c r="G31" s="419">
        <v>301332.11</v>
      </c>
      <c r="H31" s="420">
        <v>274445.85333333333</v>
      </c>
      <c r="I31" s="219">
        <v>289043.3</v>
      </c>
      <c r="J31" s="219">
        <v>294645.53999999998</v>
      </c>
      <c r="K31" s="219">
        <v>299844.15999999997</v>
      </c>
      <c r="L31" s="220">
        <v>294511</v>
      </c>
      <c r="M31" s="231">
        <v>301231.83</v>
      </c>
      <c r="N31" s="231">
        <v>313434.34999999998</v>
      </c>
      <c r="O31" s="231">
        <v>309402.62</v>
      </c>
      <c r="P31" s="232">
        <v>308022.93333333329</v>
      </c>
      <c r="Q31" s="231">
        <f>Q15</f>
        <v>313980.68</v>
      </c>
      <c r="R31" s="231">
        <f>R15</f>
        <v>315927.16000000003</v>
      </c>
      <c r="S31" s="231">
        <f>S15</f>
        <v>352154.52999999997</v>
      </c>
      <c r="T31" s="232">
        <f>AVERAGE(Q31:S31)</f>
        <v>327354.12333333335</v>
      </c>
      <c r="U31" s="271">
        <f>+S31+R31+Q31+O31+N31+M31+K31+J31+I31+G31+F31+E31</f>
        <v>3613001.7299999995</v>
      </c>
      <c r="V31" s="439">
        <f>AVERAGE(E31:G31,I31:K31,M31:O31,Q31:S31)</f>
        <v>301083.47749999998</v>
      </c>
      <c r="W31" s="233"/>
      <c r="X31" s="233"/>
    </row>
    <row r="32" spans="1:24" ht="33" customHeight="1" thickBot="1" x14ac:dyDescent="0.3">
      <c r="A32" s="111"/>
      <c r="B32" s="13"/>
      <c r="C32" s="341" t="s">
        <v>20</v>
      </c>
      <c r="D32" s="101" t="s">
        <v>9</v>
      </c>
      <c r="E32" s="394">
        <v>13328.164999999999</v>
      </c>
      <c r="F32" s="394">
        <v>12772.1075</v>
      </c>
      <c r="G32" s="394">
        <v>13101.396086956522</v>
      </c>
      <c r="H32" s="395">
        <v>13068.850158730158</v>
      </c>
      <c r="I32" s="343">
        <v>14452.164999999999</v>
      </c>
      <c r="J32" s="343">
        <v>14030.74</v>
      </c>
      <c r="K32" s="343">
        <v>14278.293333333331</v>
      </c>
      <c r="L32" s="344">
        <v>14250.532258064517</v>
      </c>
      <c r="M32" s="343">
        <v>14344.372857142858</v>
      </c>
      <c r="N32" s="343">
        <v>14247.015909090907</v>
      </c>
      <c r="O32" s="343">
        <v>14063.755454545455</v>
      </c>
      <c r="P32" s="344">
        <v>14216.443076923077</v>
      </c>
      <c r="Q32" s="343">
        <f>Q31/Q7</f>
        <v>14951.460952380952</v>
      </c>
      <c r="R32" s="343">
        <f>R31/R7</f>
        <v>15796.358000000002</v>
      </c>
      <c r="S32" s="343">
        <f>S31/S7</f>
        <v>16769.263333333332</v>
      </c>
      <c r="T32" s="344">
        <f>SUM(Q31:S31)/SUM(Q28/S28)</f>
        <v>1040698.9876768999</v>
      </c>
      <c r="U32" s="276" t="s">
        <v>11</v>
      </c>
      <c r="V32" s="440">
        <f>U31/U7</f>
        <v>14337.30845238095</v>
      </c>
      <c r="W32" s="233"/>
      <c r="X32" s="233"/>
    </row>
    <row r="33" spans="1:24" s="135" customFormat="1" ht="30" customHeight="1" thickTop="1" x14ac:dyDescent="0.25">
      <c r="A33" s="325"/>
      <c r="B33" s="119"/>
      <c r="C33" s="2"/>
      <c r="D33" s="326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50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5">
    <mergeCell ref="B13:B14"/>
    <mergeCell ref="B5:C6"/>
    <mergeCell ref="B7:C7"/>
    <mergeCell ref="B8:C8"/>
    <mergeCell ref="B11:B12"/>
  </mergeCells>
  <phoneticPr fontId="16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26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X2057"/>
  <sheetViews>
    <sheetView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37.8984375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5.89843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</row>
    <row r="3" spans="1:24" ht="19.5" customHeight="1" x14ac:dyDescent="0.4">
      <c r="A3" s="408" t="s">
        <v>42</v>
      </c>
      <c r="B3" s="4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4" s="134" customFormat="1" ht="24" customHeight="1" thickBot="1" x14ac:dyDescent="0.3">
      <c r="A4" s="409" t="s">
        <v>232</v>
      </c>
      <c r="B4" s="1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4" ht="42" customHeight="1" thickTop="1" thickBot="1" x14ac:dyDescent="0.45">
      <c r="A5" s="112" t="s">
        <v>1</v>
      </c>
      <c r="B5" s="993" t="s">
        <v>2</v>
      </c>
      <c r="C5" s="993"/>
      <c r="D5" s="88" t="s">
        <v>3</v>
      </c>
      <c r="E5" s="142" t="s">
        <v>215</v>
      </c>
      <c r="F5" s="143" t="s">
        <v>216</v>
      </c>
      <c r="G5" s="142" t="s">
        <v>217</v>
      </c>
      <c r="H5" s="144" t="s">
        <v>218</v>
      </c>
      <c r="I5" s="143" t="s">
        <v>220</v>
      </c>
      <c r="J5" s="143" t="s">
        <v>221</v>
      </c>
      <c r="K5" s="143" t="s">
        <v>222</v>
      </c>
      <c r="L5" s="144" t="s">
        <v>223</v>
      </c>
      <c r="M5" s="143" t="s">
        <v>224</v>
      </c>
      <c r="N5" s="143" t="s">
        <v>225</v>
      </c>
      <c r="O5" s="143" t="s">
        <v>226</v>
      </c>
      <c r="P5" s="144" t="s">
        <v>227</v>
      </c>
      <c r="Q5" s="143" t="s">
        <v>228</v>
      </c>
      <c r="R5" s="143" t="s">
        <v>229</v>
      </c>
      <c r="S5" s="143" t="s">
        <v>230</v>
      </c>
      <c r="T5" s="144" t="s">
        <v>231</v>
      </c>
      <c r="U5" s="138" t="s">
        <v>46</v>
      </c>
      <c r="V5" s="139" t="s">
        <v>58</v>
      </c>
      <c r="W5" s="233"/>
      <c r="X5" s="233"/>
    </row>
    <row r="6" spans="1:24" ht="44.25" customHeight="1" thickTop="1" thickBot="1" x14ac:dyDescent="0.4">
      <c r="A6" s="102"/>
      <c r="B6" s="993"/>
      <c r="C6" s="993"/>
      <c r="D6" s="89" t="s">
        <v>4</v>
      </c>
      <c r="E6" s="16"/>
      <c r="F6" s="54"/>
      <c r="G6" s="16"/>
      <c r="H6" s="136" t="s">
        <v>45</v>
      </c>
      <c r="I6" s="237"/>
      <c r="J6" s="237"/>
      <c r="K6" s="237"/>
      <c r="L6" s="238" t="s">
        <v>45</v>
      </c>
      <c r="M6" s="237"/>
      <c r="N6" s="237"/>
      <c r="O6" s="237"/>
      <c r="P6" s="238" t="s">
        <v>45</v>
      </c>
      <c r="Q6" s="237"/>
      <c r="R6" s="237"/>
      <c r="S6" s="237"/>
      <c r="T6" s="238" t="s">
        <v>45</v>
      </c>
      <c r="U6" s="140" t="s">
        <v>53</v>
      </c>
      <c r="V6" s="141" t="s">
        <v>53</v>
      </c>
      <c r="W6" s="233"/>
      <c r="X6" s="233"/>
    </row>
    <row r="7" spans="1:24" ht="30" customHeight="1" thickTop="1" thickBot="1" x14ac:dyDescent="0.3">
      <c r="A7" s="103" t="s">
        <v>5</v>
      </c>
      <c r="B7" s="994" t="s">
        <v>6</v>
      </c>
      <c r="C7" s="994"/>
      <c r="D7" s="90"/>
      <c r="E7" s="184">
        <v>20</v>
      </c>
      <c r="F7" s="185">
        <v>20</v>
      </c>
      <c r="G7" s="184">
        <v>23</v>
      </c>
      <c r="H7" s="186">
        <v>21</v>
      </c>
      <c r="I7" s="185">
        <v>21</v>
      </c>
      <c r="J7" s="185">
        <v>20</v>
      </c>
      <c r="K7" s="185">
        <v>21</v>
      </c>
      <c r="L7" s="186">
        <v>20.666666666666668</v>
      </c>
      <c r="M7" s="185">
        <v>22</v>
      </c>
      <c r="N7" s="185">
        <v>22</v>
      </c>
      <c r="O7" s="185">
        <v>22</v>
      </c>
      <c r="P7" s="186">
        <v>22</v>
      </c>
      <c r="Q7" s="281">
        <v>21</v>
      </c>
      <c r="R7" s="281">
        <v>20</v>
      </c>
      <c r="S7" s="281">
        <v>23</v>
      </c>
      <c r="T7" s="282">
        <v>21.333333333333332</v>
      </c>
      <c r="U7" s="359">
        <f>+E7+F7+G7+I7+J7+K7+M7+N7+O7+Q7+R7+S7</f>
        <v>255</v>
      </c>
      <c r="V7" s="360">
        <f>+U7/12</f>
        <v>21.25</v>
      </c>
      <c r="W7" s="233"/>
      <c r="X7" s="233"/>
    </row>
    <row r="8" spans="1:24" ht="30" customHeight="1" thickTop="1" thickBot="1" x14ac:dyDescent="0.3">
      <c r="A8" s="103" t="s">
        <v>7</v>
      </c>
      <c r="B8" s="994" t="s">
        <v>40</v>
      </c>
      <c r="C8" s="994"/>
      <c r="D8" s="90"/>
      <c r="E8" s="184">
        <v>51</v>
      </c>
      <c r="F8" s="185">
        <v>51</v>
      </c>
      <c r="G8" s="184">
        <v>51</v>
      </c>
      <c r="H8" s="186">
        <v>51</v>
      </c>
      <c r="I8" s="185">
        <v>51</v>
      </c>
      <c r="J8" s="185">
        <v>51</v>
      </c>
      <c r="K8" s="185">
        <v>52</v>
      </c>
      <c r="L8" s="186">
        <v>51.333333333333336</v>
      </c>
      <c r="M8" s="185">
        <v>52</v>
      </c>
      <c r="N8" s="185">
        <v>52</v>
      </c>
      <c r="O8" s="185">
        <v>52</v>
      </c>
      <c r="P8" s="186">
        <v>52</v>
      </c>
      <c r="Q8" s="281">
        <v>52</v>
      </c>
      <c r="R8" s="281">
        <v>52</v>
      </c>
      <c r="S8" s="281">
        <v>52</v>
      </c>
      <c r="T8" s="282">
        <v>52</v>
      </c>
      <c r="U8" s="359" t="s">
        <v>182</v>
      </c>
      <c r="V8" s="360">
        <f>AVERAGE(E8+F8+G8+I8+J8+M8+K8+N8+O8+Q8+R8+S8)/12</f>
        <v>51.583333333333336</v>
      </c>
      <c r="W8" s="233"/>
      <c r="X8" s="233"/>
    </row>
    <row r="9" spans="1:24" ht="44.25" customHeight="1" thickTop="1" x14ac:dyDescent="0.35">
      <c r="A9" s="104" t="s">
        <v>12</v>
      </c>
      <c r="B9" s="129" t="s">
        <v>27</v>
      </c>
      <c r="C9" s="30" t="s">
        <v>181</v>
      </c>
      <c r="D9" s="91" t="s">
        <v>9</v>
      </c>
      <c r="E9" s="187">
        <v>105056.03</v>
      </c>
      <c r="F9" s="188">
        <v>99474.71</v>
      </c>
      <c r="G9" s="187">
        <v>117839.5</v>
      </c>
      <c r="H9" s="189">
        <v>107456.74666666666</v>
      </c>
      <c r="I9" s="188">
        <v>117302.9</v>
      </c>
      <c r="J9" s="188">
        <v>111866.1</v>
      </c>
      <c r="K9" s="188">
        <v>122731.7</v>
      </c>
      <c r="L9" s="189">
        <v>117300.23333333334</v>
      </c>
      <c r="M9" s="188">
        <v>122913.01</v>
      </c>
      <c r="N9" s="188">
        <v>123197.2</v>
      </c>
      <c r="O9" s="188">
        <v>122788.04</v>
      </c>
      <c r="P9" s="189">
        <v>122966.08333333333</v>
      </c>
      <c r="Q9" s="285">
        <v>124686.8</v>
      </c>
      <c r="R9" s="285">
        <v>128799.4</v>
      </c>
      <c r="S9" s="285">
        <v>148476.1</v>
      </c>
      <c r="T9" s="286">
        <v>133987.43333333335</v>
      </c>
      <c r="U9" s="362">
        <f>+E9+F9+G9+I9+J9+K9+M9+N9+O9+Q9+R9+S9</f>
        <v>1445131.49</v>
      </c>
      <c r="V9" s="363">
        <f>+U9/12</f>
        <v>120427.62416666666</v>
      </c>
      <c r="W9" s="317"/>
      <c r="X9" s="233"/>
    </row>
    <row r="10" spans="1:24" ht="30" customHeight="1" x14ac:dyDescent="0.25">
      <c r="A10" s="105"/>
      <c r="B10" s="130" t="s">
        <v>28</v>
      </c>
      <c r="C10" s="21" t="s">
        <v>10</v>
      </c>
      <c r="D10" s="92"/>
      <c r="E10" s="465">
        <v>0.4352194674818578</v>
      </c>
      <c r="F10" s="466">
        <v>0.42682288551390446</v>
      </c>
      <c r="G10" s="465">
        <v>0.42631950952209857</v>
      </c>
      <c r="H10" s="445">
        <v>0.42933692432776194</v>
      </c>
      <c r="I10" s="450">
        <v>0.43124502913239982</v>
      </c>
      <c r="J10" s="450">
        <v>0.42688544783893873</v>
      </c>
      <c r="K10" s="450">
        <v>0.44065684355049672</v>
      </c>
      <c r="L10" s="445">
        <v>0.43306508210695799</v>
      </c>
      <c r="M10" s="450">
        <v>0.43645327106454207</v>
      </c>
      <c r="N10" s="450">
        <v>0.43900914382041928</v>
      </c>
      <c r="O10" s="450">
        <v>0.42799936435206487</v>
      </c>
      <c r="P10" s="445">
        <v>0.43444170548985239</v>
      </c>
      <c r="Q10" s="480">
        <v>0.43152179969523791</v>
      </c>
      <c r="R10" s="481">
        <v>0.43431876043229756</v>
      </c>
      <c r="S10" s="481">
        <v>0.4362621273214865</v>
      </c>
      <c r="T10" s="482">
        <v>0.43403422914967393</v>
      </c>
      <c r="U10" s="483">
        <f>+U9/U15</f>
        <v>0.43288042983362124</v>
      </c>
      <c r="V10" s="452">
        <v>0.43288042983362124</v>
      </c>
      <c r="W10" s="402"/>
      <c r="X10" s="402"/>
    </row>
    <row r="11" spans="1:24" ht="40.5" customHeight="1" x14ac:dyDescent="0.35">
      <c r="A11" s="105"/>
      <c r="B11" s="991" t="s">
        <v>29</v>
      </c>
      <c r="C11" s="24" t="s">
        <v>181</v>
      </c>
      <c r="D11" s="93" t="s">
        <v>9</v>
      </c>
      <c r="E11" s="194">
        <v>87623.8</v>
      </c>
      <c r="F11" s="195">
        <v>87561.86</v>
      </c>
      <c r="G11" s="194">
        <v>105010.52</v>
      </c>
      <c r="H11" s="196">
        <v>93398.726666666669</v>
      </c>
      <c r="I11" s="195">
        <v>101534</v>
      </c>
      <c r="J11" s="195">
        <v>98018.1</v>
      </c>
      <c r="K11" s="195">
        <v>102192.9</v>
      </c>
      <c r="L11" s="196">
        <v>100581.66666666667</v>
      </c>
      <c r="M11" s="195">
        <v>104500.85</v>
      </c>
      <c r="N11" s="195">
        <v>105183.1</v>
      </c>
      <c r="O11" s="195">
        <v>108981.46</v>
      </c>
      <c r="P11" s="196">
        <v>106221.80333333334</v>
      </c>
      <c r="Q11" s="289">
        <v>108519.2</v>
      </c>
      <c r="R11" s="289">
        <v>110217.4</v>
      </c>
      <c r="S11" s="289">
        <v>124828.5</v>
      </c>
      <c r="T11" s="290">
        <v>114521.7</v>
      </c>
      <c r="U11" s="366">
        <f>+E11+F11+G11+I11+J11+K11+M11+N11+O11+Q11+R11+S11</f>
        <v>1244171.69</v>
      </c>
      <c r="V11" s="367">
        <f>+U11/12</f>
        <v>103680.97416666667</v>
      </c>
      <c r="W11" s="402"/>
      <c r="X11" s="233"/>
    </row>
    <row r="12" spans="1:24" ht="30" customHeight="1" x14ac:dyDescent="0.25">
      <c r="A12" s="105"/>
      <c r="B12" s="991"/>
      <c r="C12" s="22" t="s">
        <v>10</v>
      </c>
      <c r="D12" s="94"/>
      <c r="E12" s="458">
        <v>0.36300232908798108</v>
      </c>
      <c r="F12" s="451">
        <v>0.37570761197659713</v>
      </c>
      <c r="G12" s="458">
        <v>0.3799068511073157</v>
      </c>
      <c r="H12" s="445">
        <v>0.37316895669273925</v>
      </c>
      <c r="I12" s="451">
        <v>0.37327323355116615</v>
      </c>
      <c r="J12" s="451">
        <v>0.37404093389169624</v>
      </c>
      <c r="K12" s="451">
        <v>0.36691417740707211</v>
      </c>
      <c r="L12" s="445">
        <v>0.37134118573894292</v>
      </c>
      <c r="M12" s="451">
        <v>0.3710733128374698</v>
      </c>
      <c r="N12" s="451">
        <v>0.37481649481788176</v>
      </c>
      <c r="O12" s="451">
        <v>0.37987409527963789</v>
      </c>
      <c r="P12" s="445">
        <v>0.37528381932151506</v>
      </c>
      <c r="Q12" s="484">
        <v>0.37826280654039757</v>
      </c>
      <c r="R12" s="485">
        <v>0.38940034465322554</v>
      </c>
      <c r="S12" s="485">
        <v>0.43201220155828046</v>
      </c>
      <c r="T12" s="486">
        <v>0.3998917842506346</v>
      </c>
      <c r="U12" s="460">
        <f>+U11/U15</f>
        <v>0.37268413267641337</v>
      </c>
      <c r="V12" s="454">
        <v>0.37268413267641337</v>
      </c>
      <c r="W12" s="402"/>
      <c r="X12" s="233"/>
    </row>
    <row r="13" spans="1:24" ht="46.5" customHeight="1" x14ac:dyDescent="0.35">
      <c r="A13" s="105"/>
      <c r="B13" s="991" t="s">
        <v>30</v>
      </c>
      <c r="C13" s="23" t="s">
        <v>181</v>
      </c>
      <c r="D13" s="95" t="s">
        <v>9</v>
      </c>
      <c r="E13" s="200">
        <v>47520.81</v>
      </c>
      <c r="F13" s="201">
        <v>44808.62</v>
      </c>
      <c r="G13" s="200">
        <v>52097.94</v>
      </c>
      <c r="H13" s="318">
        <v>48142.456666666665</v>
      </c>
      <c r="I13" s="201">
        <v>51851.53</v>
      </c>
      <c r="J13" s="201">
        <v>50745.599999999999</v>
      </c>
      <c r="K13" s="201">
        <v>52176.9</v>
      </c>
      <c r="L13" s="196">
        <v>51591.343333333331</v>
      </c>
      <c r="M13" s="201">
        <v>52809.69</v>
      </c>
      <c r="N13" s="201">
        <v>50817.87</v>
      </c>
      <c r="O13" s="201">
        <v>53715.14</v>
      </c>
      <c r="P13" s="196">
        <v>52447.566666666673</v>
      </c>
      <c r="Q13" s="293">
        <v>54346.2</v>
      </c>
      <c r="R13" s="293">
        <v>55974</v>
      </c>
      <c r="S13" s="293">
        <v>65456.1</v>
      </c>
      <c r="T13" s="294">
        <v>58592.1</v>
      </c>
      <c r="U13" s="366">
        <f>+E13+F13+G13+I13+J13+K13+M13+N13+O13+Q13+R13+S13</f>
        <v>632320.4</v>
      </c>
      <c r="V13" s="370">
        <f>+U13/12</f>
        <v>52693.366666666669</v>
      </c>
      <c r="W13" s="402"/>
      <c r="X13" s="233"/>
    </row>
    <row r="14" spans="1:24" ht="30" customHeight="1" thickBot="1" x14ac:dyDescent="0.3">
      <c r="A14" s="106"/>
      <c r="B14" s="992"/>
      <c r="C14" s="31" t="s">
        <v>10</v>
      </c>
      <c r="D14" s="96"/>
      <c r="E14" s="473">
        <v>0.19686620199246574</v>
      </c>
      <c r="F14" s="449">
        <v>0.1922633851789671</v>
      </c>
      <c r="G14" s="473">
        <v>0.18847982406503525</v>
      </c>
      <c r="H14" s="445">
        <v>0.19235027037405089</v>
      </c>
      <c r="I14" s="449">
        <v>0.19062371489033522</v>
      </c>
      <c r="J14" s="449">
        <v>0.19364721020805808</v>
      </c>
      <c r="K14" s="449">
        <v>0.18733634472797095</v>
      </c>
      <c r="L14" s="445">
        <v>0.19047199397436484</v>
      </c>
      <c r="M14" s="449">
        <v>0.18752255716790631</v>
      </c>
      <c r="N14" s="449">
        <v>0.18108779744569983</v>
      </c>
      <c r="O14" s="449">
        <v>0.18723359193682199</v>
      </c>
      <c r="P14" s="445">
        <v>0.18529833344120827</v>
      </c>
      <c r="Q14" s="487">
        <v>0.18808382307186755</v>
      </c>
      <c r="R14" s="488">
        <v>0.18874744988282105</v>
      </c>
      <c r="S14" s="488">
        <v>0.19232736738214401</v>
      </c>
      <c r="T14" s="489">
        <v>0.1897195467789442</v>
      </c>
      <c r="U14" s="456">
        <f>+U13/U15</f>
        <v>0.18940776561762371</v>
      </c>
      <c r="V14" s="457">
        <v>0.18940776561762371</v>
      </c>
      <c r="W14" s="233"/>
      <c r="X14" s="233"/>
    </row>
    <row r="15" spans="1:24" ht="30" customHeight="1" thickTop="1" x14ac:dyDescent="0.25">
      <c r="A15" s="104" t="s">
        <v>17</v>
      </c>
      <c r="B15" s="113" t="s">
        <v>13</v>
      </c>
      <c r="C15" s="114" t="s">
        <v>8</v>
      </c>
      <c r="D15" s="115" t="s">
        <v>9</v>
      </c>
      <c r="E15" s="206">
        <v>241386.33</v>
      </c>
      <c r="F15" s="403">
        <v>233058.52</v>
      </c>
      <c r="G15" s="206">
        <v>276411.23</v>
      </c>
      <c r="H15" s="208">
        <v>250285.36</v>
      </c>
      <c r="I15" s="207">
        <v>272009.86</v>
      </c>
      <c r="J15" s="207">
        <v>262051.8</v>
      </c>
      <c r="K15" s="207">
        <v>278519.90000000002</v>
      </c>
      <c r="L15" s="208">
        <v>270860.52</v>
      </c>
      <c r="M15" s="207">
        <v>281617.8</v>
      </c>
      <c r="N15" s="207">
        <v>280625.59000000003</v>
      </c>
      <c r="O15" s="207">
        <v>286888.37</v>
      </c>
      <c r="P15" s="208">
        <v>283043.92</v>
      </c>
      <c r="Q15" s="297">
        <v>288946.7</v>
      </c>
      <c r="R15" s="297">
        <v>296555</v>
      </c>
      <c r="S15" s="297">
        <v>340336.9</v>
      </c>
      <c r="T15" s="298">
        <v>308612.86666666664</v>
      </c>
      <c r="U15" s="373">
        <f>+E15+F15+G15+I15+J15+K15+M15+N15+O15+Q15+R15+S15</f>
        <v>3338408.0000000005</v>
      </c>
      <c r="V15" s="374">
        <f>+U15/12</f>
        <v>278200.66666666669</v>
      </c>
      <c r="W15" s="317"/>
      <c r="X15" s="233"/>
    </row>
    <row r="16" spans="1:24" ht="30" customHeight="1" x14ac:dyDescent="0.25">
      <c r="A16" s="105"/>
      <c r="B16" s="10" t="s">
        <v>14</v>
      </c>
      <c r="C16" s="12" t="s">
        <v>15</v>
      </c>
      <c r="D16" s="98" t="s">
        <v>9</v>
      </c>
      <c r="E16" s="209">
        <v>12069.316500000001</v>
      </c>
      <c r="F16" s="404">
        <v>11652.925999999999</v>
      </c>
      <c r="G16" s="209">
        <v>12017.879565217392</v>
      </c>
      <c r="H16" s="211">
        <v>11918.350476190477</v>
      </c>
      <c r="I16" s="210">
        <v>12952.850476190475</v>
      </c>
      <c r="J16" s="210">
        <v>13102.59</v>
      </c>
      <c r="K16" s="210">
        <v>13262.852380952381</v>
      </c>
      <c r="L16" s="211">
        <v>13106.154193548387</v>
      </c>
      <c r="M16" s="210">
        <v>12800.80909090909</v>
      </c>
      <c r="N16" s="210">
        <v>12755.708636363635</v>
      </c>
      <c r="O16" s="210">
        <v>13040.380454545455</v>
      </c>
      <c r="P16" s="211">
        <v>12865.632727272725</v>
      </c>
      <c r="Q16" s="299">
        <v>13133.94090909091</v>
      </c>
      <c r="R16" s="299">
        <v>14827.75</v>
      </c>
      <c r="S16" s="299">
        <v>14797.256521739129</v>
      </c>
      <c r="T16" s="300">
        <v>14466.228124999998</v>
      </c>
      <c r="U16" s="375">
        <f>+U15/255</f>
        <v>13091.796078431375</v>
      </c>
      <c r="V16" s="376">
        <v>13091.796078431375</v>
      </c>
      <c r="W16" s="233"/>
      <c r="X16" s="233"/>
    </row>
    <row r="17" spans="1:24" s="27" customFormat="1" ht="40.5" customHeight="1" x14ac:dyDescent="0.35">
      <c r="A17" s="107"/>
      <c r="B17" s="15" t="s">
        <v>36</v>
      </c>
      <c r="C17" s="23" t="s">
        <v>8</v>
      </c>
      <c r="D17" s="95" t="s">
        <v>9</v>
      </c>
      <c r="E17" s="200">
        <v>240200.64</v>
      </c>
      <c r="F17" s="405">
        <v>231845.19</v>
      </c>
      <c r="G17" s="200">
        <v>274947.96000000002</v>
      </c>
      <c r="H17" s="202">
        <v>248997.93</v>
      </c>
      <c r="I17" s="201">
        <v>270688.43</v>
      </c>
      <c r="J17" s="201">
        <v>260629.8</v>
      </c>
      <c r="K17" s="201">
        <v>277101.5</v>
      </c>
      <c r="L17" s="202">
        <v>269473.24333333335</v>
      </c>
      <c r="M17" s="201">
        <v>280223.55</v>
      </c>
      <c r="N17" s="201">
        <v>279198.17</v>
      </c>
      <c r="O17" s="201">
        <v>285484.64</v>
      </c>
      <c r="P17" s="202">
        <v>281635.45333333331</v>
      </c>
      <c r="Q17" s="293">
        <v>287552.2</v>
      </c>
      <c r="R17" s="293">
        <v>294990.8</v>
      </c>
      <c r="S17" s="293">
        <v>338760.7</v>
      </c>
      <c r="T17" s="294">
        <v>307101.23333333334</v>
      </c>
      <c r="U17" s="366">
        <f>+E17+F17+G17+I17+J17+K17+M17+N17+O17+Q17+R17+S17</f>
        <v>3321623.5800000005</v>
      </c>
      <c r="V17" s="370">
        <f>+U17/12</f>
        <v>276801.96500000003</v>
      </c>
      <c r="W17" s="234"/>
      <c r="X17" s="234"/>
    </row>
    <row r="18" spans="1:24" s="25" customFormat="1" ht="30" customHeight="1" x14ac:dyDescent="0.25">
      <c r="A18" s="108"/>
      <c r="B18" s="9" t="s">
        <v>32</v>
      </c>
      <c r="C18" s="26" t="s">
        <v>10</v>
      </c>
      <c r="D18" s="94"/>
      <c r="E18" s="458">
        <v>0.99508799856230468</v>
      </c>
      <c r="F18" s="459">
        <v>0.99479388266946867</v>
      </c>
      <c r="G18" s="458">
        <v>0.9947061846944496</v>
      </c>
      <c r="H18" s="447">
        <v>0.99485615139455219</v>
      </c>
      <c r="I18" s="451">
        <v>0.99514197757390122</v>
      </c>
      <c r="J18" s="451">
        <v>0.99457359193869299</v>
      </c>
      <c r="K18" s="451">
        <v>0.99490736568553984</v>
      </c>
      <c r="L18" s="447">
        <v>0.99487826182026573</v>
      </c>
      <c r="M18" s="451">
        <v>0.99504914106991815</v>
      </c>
      <c r="N18" s="451">
        <v>0.99491343608400085</v>
      </c>
      <c r="O18" s="451">
        <v>0.99510705156852475</v>
      </c>
      <c r="P18" s="447">
        <v>0.99502320957414803</v>
      </c>
      <c r="Q18" s="484">
        <v>0.99517385040216755</v>
      </c>
      <c r="R18" s="485">
        <v>0.99472543035861805</v>
      </c>
      <c r="S18" s="484">
        <v>0.99536870671384736</v>
      </c>
      <c r="T18" s="486">
        <v>0.99508932915821102</v>
      </c>
      <c r="U18" s="460">
        <f>+U17/U15</f>
        <v>0.99497232812765846</v>
      </c>
      <c r="V18" s="454">
        <v>0.99497232812765846</v>
      </c>
      <c r="W18" s="235"/>
      <c r="X18" s="235"/>
    </row>
    <row r="19" spans="1:24" s="27" customFormat="1" ht="40.5" customHeight="1" x14ac:dyDescent="0.35">
      <c r="A19" s="107"/>
      <c r="B19" s="15" t="s">
        <v>36</v>
      </c>
      <c r="C19" s="23" t="s">
        <v>8</v>
      </c>
      <c r="D19" s="95" t="s">
        <v>9</v>
      </c>
      <c r="E19" s="200">
        <v>1185.69</v>
      </c>
      <c r="F19" s="405">
        <v>1213.33</v>
      </c>
      <c r="G19" s="200">
        <v>1463.27</v>
      </c>
      <c r="H19" s="202">
        <v>1287.43</v>
      </c>
      <c r="I19" s="201">
        <v>1321.43</v>
      </c>
      <c r="J19" s="201">
        <v>1422</v>
      </c>
      <c r="K19" s="201">
        <v>1418.4</v>
      </c>
      <c r="L19" s="202">
        <v>1387.2766666666666</v>
      </c>
      <c r="M19" s="201">
        <v>1394.25</v>
      </c>
      <c r="N19" s="201">
        <v>1427.42</v>
      </c>
      <c r="O19" s="201">
        <v>1403.73</v>
      </c>
      <c r="P19" s="202">
        <v>1408.4666666666665</v>
      </c>
      <c r="Q19" s="293">
        <v>1394.5</v>
      </c>
      <c r="R19" s="293">
        <v>1564.2</v>
      </c>
      <c r="S19" s="293">
        <v>1576.2</v>
      </c>
      <c r="T19" s="294">
        <v>1511.6333333333332</v>
      </c>
      <c r="U19" s="366">
        <f>+E19+F19+G19+I19+J19+K19+M19+N19+O19+Q19+R19+S19</f>
        <v>16784.420000000002</v>
      </c>
      <c r="V19" s="370">
        <f>+U19/12</f>
        <v>1398.7016666666668</v>
      </c>
      <c r="W19" s="234"/>
      <c r="X19" s="234"/>
    </row>
    <row r="20" spans="1:24" s="25" customFormat="1" ht="30" customHeight="1" thickBot="1" x14ac:dyDescent="0.3">
      <c r="A20" s="109"/>
      <c r="B20" s="32" t="s">
        <v>31</v>
      </c>
      <c r="C20" s="33" t="s">
        <v>10</v>
      </c>
      <c r="D20" s="96"/>
      <c r="E20" s="473">
        <v>4.9120014376953323E-3</v>
      </c>
      <c r="F20" s="455">
        <v>5.2061173305314049E-3</v>
      </c>
      <c r="G20" s="473">
        <v>5.2938153055503562E-3</v>
      </c>
      <c r="H20" s="446">
        <v>5.1438486054477973E-3</v>
      </c>
      <c r="I20" s="449">
        <v>4.8580224260988195E-3</v>
      </c>
      <c r="J20" s="449">
        <v>5.4264080613069627E-3</v>
      </c>
      <c r="K20" s="449">
        <v>5.0926343144601155E-3</v>
      </c>
      <c r="L20" s="446">
        <v>5.1217381797342282E-3</v>
      </c>
      <c r="M20" s="449">
        <v>4.9508589300818343E-3</v>
      </c>
      <c r="N20" s="449">
        <v>5.086563915999251E-3</v>
      </c>
      <c r="O20" s="449">
        <v>4.8929484314752811E-3</v>
      </c>
      <c r="P20" s="446">
        <v>4.9767904258521218E-3</v>
      </c>
      <c r="Q20" s="487">
        <v>4.8261495978324026E-3</v>
      </c>
      <c r="R20" s="488">
        <v>5.2745696413818684E-3</v>
      </c>
      <c r="S20" s="488">
        <v>4.6312932861526336E-3</v>
      </c>
      <c r="T20" s="489">
        <v>4.9106708417889682E-3</v>
      </c>
      <c r="U20" s="456">
        <f>+U19/U15</f>
        <v>5.0276718723415471E-3</v>
      </c>
      <c r="V20" s="457">
        <v>5.0276718723415471E-3</v>
      </c>
      <c r="W20" s="235"/>
      <c r="X20" s="235"/>
    </row>
    <row r="21" spans="1:24" ht="30" customHeight="1" thickTop="1" x14ac:dyDescent="0.25">
      <c r="A21" s="104" t="s">
        <v>24</v>
      </c>
      <c r="B21" s="113" t="s">
        <v>37</v>
      </c>
      <c r="C21" s="114" t="s">
        <v>19</v>
      </c>
      <c r="D21" s="115" t="s">
        <v>16</v>
      </c>
      <c r="E21" s="206">
        <v>100105.60000000001</v>
      </c>
      <c r="F21" s="403">
        <v>103056.5</v>
      </c>
      <c r="G21" s="206">
        <v>118938.6</v>
      </c>
      <c r="H21" s="208">
        <v>107366.9</v>
      </c>
      <c r="I21" s="207">
        <v>110557</v>
      </c>
      <c r="J21" s="207">
        <v>108679.1</v>
      </c>
      <c r="K21" s="207">
        <v>111426.3</v>
      </c>
      <c r="L21" s="208">
        <v>110220.8</v>
      </c>
      <c r="M21" s="207">
        <v>111648.6</v>
      </c>
      <c r="N21" s="207">
        <v>107862</v>
      </c>
      <c r="O21" s="207">
        <v>109859.1</v>
      </c>
      <c r="P21" s="208">
        <v>109789.9</v>
      </c>
      <c r="Q21" s="297">
        <v>112013.37699999999</v>
      </c>
      <c r="R21" s="297">
        <v>113724.7</v>
      </c>
      <c r="S21" s="297">
        <v>123277.45300000001</v>
      </c>
      <c r="T21" s="298">
        <v>116338.51</v>
      </c>
      <c r="U21" s="373">
        <f>+E21+F21+G21+I21+J21+K21+M21+N21+O21+Q21+R21+S21</f>
        <v>1331148.33</v>
      </c>
      <c r="V21" s="377">
        <f>+U21/12</f>
        <v>110929.02750000001</v>
      </c>
      <c r="W21" s="233"/>
      <c r="X21" s="233"/>
    </row>
    <row r="22" spans="1:24" ht="30" customHeight="1" x14ac:dyDescent="0.25">
      <c r="A22" s="105"/>
      <c r="B22" s="10" t="s">
        <v>14</v>
      </c>
      <c r="C22" s="29" t="s">
        <v>38</v>
      </c>
      <c r="D22" s="99" t="s">
        <v>16</v>
      </c>
      <c r="E22" s="212">
        <v>5005.28</v>
      </c>
      <c r="F22" s="406">
        <v>5152.8249999999998</v>
      </c>
      <c r="G22" s="212">
        <v>5171.2434782608689</v>
      </c>
      <c r="H22" s="214">
        <v>5112.7095238095244</v>
      </c>
      <c r="I22" s="213">
        <v>5264.6190476190477</v>
      </c>
      <c r="J22" s="213">
        <v>5433.9549999999999</v>
      </c>
      <c r="K22" s="213">
        <v>5306.0142857142855</v>
      </c>
      <c r="L22" s="214">
        <v>5333.2645161290329</v>
      </c>
      <c r="M22" s="213">
        <v>5074.9363636363641</v>
      </c>
      <c r="N22" s="213">
        <v>4902.818181818182</v>
      </c>
      <c r="O22" s="213">
        <v>4993.5954545454542</v>
      </c>
      <c r="P22" s="214">
        <f>AVERAGE(M22:O22)</f>
        <v>4990.4500000000007</v>
      </c>
      <c r="Q22" s="301">
        <v>5333.9703333333327</v>
      </c>
      <c r="R22" s="301">
        <v>5686.2349999999997</v>
      </c>
      <c r="S22" s="301">
        <v>5359.889260869566</v>
      </c>
      <c r="T22" s="302">
        <v>5453.3676562500004</v>
      </c>
      <c r="U22" s="378">
        <f>+U21/255</f>
        <v>5220.1895294117649</v>
      </c>
      <c r="V22" s="379">
        <v>5220.1895294117649</v>
      </c>
      <c r="W22" s="233"/>
      <c r="X22" s="233"/>
    </row>
    <row r="23" spans="1:24" s="27" customFormat="1" ht="42.75" customHeight="1" x14ac:dyDescent="0.35">
      <c r="A23" s="107"/>
      <c r="B23" s="15" t="s">
        <v>36</v>
      </c>
      <c r="C23" s="86" t="s">
        <v>19</v>
      </c>
      <c r="D23" s="95" t="s">
        <v>16</v>
      </c>
      <c r="E23" s="200">
        <v>98427</v>
      </c>
      <c r="F23" s="201">
        <v>101379.9</v>
      </c>
      <c r="G23" s="200">
        <v>116962.7</v>
      </c>
      <c r="H23" s="202">
        <v>105589.86666666665</v>
      </c>
      <c r="I23" s="201">
        <v>108813.9</v>
      </c>
      <c r="J23" s="201">
        <v>106859.6</v>
      </c>
      <c r="K23" s="201">
        <v>109689.4</v>
      </c>
      <c r="L23" s="202">
        <v>108454.3</v>
      </c>
      <c r="M23" s="201">
        <v>109868.3</v>
      </c>
      <c r="N23" s="201">
        <v>106018.1</v>
      </c>
      <c r="O23" s="201">
        <v>108137.7</v>
      </c>
      <c r="P23" s="202">
        <v>108008.03333333334</v>
      </c>
      <c r="Q23" s="293">
        <v>110252.23</v>
      </c>
      <c r="R23" s="293">
        <v>111913.7</v>
      </c>
      <c r="S23" s="293">
        <v>121426.74</v>
      </c>
      <c r="T23" s="294">
        <v>114530.89</v>
      </c>
      <c r="U23" s="366">
        <f>+E23+F23+G23+I23+J23+K23+M23+N23+O23+Q23+R23+S23</f>
        <v>1309749.27</v>
      </c>
      <c r="V23" s="370">
        <f>+U23/12</f>
        <v>109145.77250000001</v>
      </c>
      <c r="W23" s="234"/>
      <c r="X23" s="234"/>
    </row>
    <row r="24" spans="1:24" s="25" customFormat="1" ht="30" customHeight="1" x14ac:dyDescent="0.25">
      <c r="A24" s="108"/>
      <c r="B24" s="9" t="s">
        <v>32</v>
      </c>
      <c r="C24" s="20" t="s">
        <v>21</v>
      </c>
      <c r="D24" s="94"/>
      <c r="E24" s="458">
        <v>0.9832317073170731</v>
      </c>
      <c r="F24" s="451">
        <v>0.98373125421492091</v>
      </c>
      <c r="G24" s="458">
        <v>0.98338722668671064</v>
      </c>
      <c r="H24" s="447">
        <v>0.98344896487340749</v>
      </c>
      <c r="I24" s="451">
        <v>0.98423347232649216</v>
      </c>
      <c r="J24" s="451">
        <v>0.98325805053593562</v>
      </c>
      <c r="K24" s="451">
        <v>0.98441211814445961</v>
      </c>
      <c r="L24" s="447">
        <v>0.98397307949134827</v>
      </c>
      <c r="M24" s="451">
        <v>0.98405443507576451</v>
      </c>
      <c r="N24" s="451">
        <v>0.98290500825128413</v>
      </c>
      <c r="O24" s="451">
        <v>0.98433083831926538</v>
      </c>
      <c r="P24" s="447">
        <v>0.98376342721543797</v>
      </c>
      <c r="Q24" s="484">
        <v>0.98427735108816516</v>
      </c>
      <c r="R24" s="485">
        <v>0.98407557900790243</v>
      </c>
      <c r="S24" s="484">
        <v>0.98498741696099124</v>
      </c>
      <c r="T24" s="486">
        <v>0.98444678235235294</v>
      </c>
      <c r="U24" s="461">
        <f>+U23/U21</f>
        <v>0.98392436100641012</v>
      </c>
      <c r="V24" s="462">
        <v>0.98392436100641012</v>
      </c>
      <c r="W24" s="235"/>
      <c r="X24" s="236"/>
    </row>
    <row r="25" spans="1:24" s="27" customFormat="1" ht="37.5" customHeight="1" x14ac:dyDescent="0.35">
      <c r="A25" s="107"/>
      <c r="B25" s="15" t="s">
        <v>36</v>
      </c>
      <c r="C25" s="87" t="s">
        <v>19</v>
      </c>
      <c r="D25" s="95" t="s">
        <v>16</v>
      </c>
      <c r="E25" s="200">
        <v>1678.6</v>
      </c>
      <c r="F25" s="201">
        <v>1676.6</v>
      </c>
      <c r="G25" s="200">
        <v>1975.9</v>
      </c>
      <c r="H25" s="202">
        <v>1777.0333333333335</v>
      </c>
      <c r="I25" s="201">
        <v>1743.1</v>
      </c>
      <c r="J25" s="201">
        <v>1819.5</v>
      </c>
      <c r="K25" s="201">
        <v>1736.9</v>
      </c>
      <c r="L25" s="202">
        <v>1766.5</v>
      </c>
      <c r="M25" s="401">
        <v>1780.3</v>
      </c>
      <c r="N25" s="201">
        <v>1843.9</v>
      </c>
      <c r="O25" s="201">
        <v>1721.4</v>
      </c>
      <c r="P25" s="202">
        <v>1781.8666666666668</v>
      </c>
      <c r="Q25" s="293">
        <v>1761.1469999999999</v>
      </c>
      <c r="R25" s="293">
        <v>1811</v>
      </c>
      <c r="S25" s="293">
        <v>1850.713</v>
      </c>
      <c r="T25" s="294">
        <v>1807.62</v>
      </c>
      <c r="U25" s="366">
        <f>+E25+F25+G25+I25+J25+K25+M25+N25+O25+Q25+R25+S25</f>
        <v>21399.059999999998</v>
      </c>
      <c r="V25" s="382">
        <f>+U25/12</f>
        <v>1783.2549999999999</v>
      </c>
      <c r="W25" s="234"/>
      <c r="X25" s="234"/>
    </row>
    <row r="26" spans="1:24" s="25" customFormat="1" ht="30" customHeight="1" thickBot="1" x14ac:dyDescent="0.3">
      <c r="A26" s="109"/>
      <c r="B26" s="32" t="s">
        <v>31</v>
      </c>
      <c r="C26" s="33" t="s">
        <v>21</v>
      </c>
      <c r="D26" s="96"/>
      <c r="E26" s="473">
        <v>1.6768292682926827E-2</v>
      </c>
      <c r="F26" s="449">
        <v>1.6268745785079058E-2</v>
      </c>
      <c r="G26" s="473">
        <v>1.6612773313289381E-2</v>
      </c>
      <c r="H26" s="446">
        <v>1.6551035126592398E-2</v>
      </c>
      <c r="I26" s="449">
        <v>1.5766527673507783E-2</v>
      </c>
      <c r="J26" s="449">
        <v>1.6741949464064387E-2</v>
      </c>
      <c r="K26" s="449">
        <v>1.5587881855540392E-2</v>
      </c>
      <c r="L26" s="446">
        <v>1.6026920508651725E-2</v>
      </c>
      <c r="M26" s="449">
        <v>1.5945564924235503E-2</v>
      </c>
      <c r="N26" s="449">
        <v>1.7094991748715954E-2</v>
      </c>
      <c r="O26" s="449">
        <v>1.5669161680734688E-2</v>
      </c>
      <c r="P26" s="446">
        <v>1.6236572784562048E-2</v>
      </c>
      <c r="Q26" s="487">
        <v>1.5722648911834877E-2</v>
      </c>
      <c r="R26" s="488">
        <v>1.5924420992097583E-2</v>
      </c>
      <c r="S26" s="488">
        <v>1.5012583039008763E-2</v>
      </c>
      <c r="T26" s="489">
        <v>1.5553217647647074E-2</v>
      </c>
      <c r="U26" s="463">
        <f>+U25/U21</f>
        <v>1.6075638993589839E-2</v>
      </c>
      <c r="V26" s="464">
        <v>1.6075638993589839E-2</v>
      </c>
      <c r="W26" s="235"/>
      <c r="X26" s="235"/>
    </row>
    <row r="27" spans="1:24" ht="30" customHeight="1" thickTop="1" x14ac:dyDescent="0.25">
      <c r="A27" s="104" t="s">
        <v>33</v>
      </c>
      <c r="B27" s="113" t="s">
        <v>34</v>
      </c>
      <c r="C27" s="177" t="s">
        <v>18</v>
      </c>
      <c r="D27" s="97"/>
      <c r="E27" s="319">
        <v>1829</v>
      </c>
      <c r="F27" s="319">
        <v>1827</v>
      </c>
      <c r="G27" s="319">
        <v>1827</v>
      </c>
      <c r="H27" s="320">
        <v>1827.6666666666667</v>
      </c>
      <c r="I27" s="216">
        <v>1831</v>
      </c>
      <c r="J27" s="216">
        <v>1777</v>
      </c>
      <c r="K27" s="216">
        <v>1778</v>
      </c>
      <c r="L27" s="217">
        <v>1795.3333333333333</v>
      </c>
      <c r="M27" s="216">
        <v>1779</v>
      </c>
      <c r="N27" s="216">
        <v>1780</v>
      </c>
      <c r="O27" s="216">
        <v>1781</v>
      </c>
      <c r="P27" s="217">
        <v>1780</v>
      </c>
      <c r="Q27" s="303">
        <v>1781</v>
      </c>
      <c r="R27" s="303">
        <v>1778</v>
      </c>
      <c r="S27" s="303">
        <v>1778</v>
      </c>
      <c r="T27" s="304">
        <v>1779</v>
      </c>
      <c r="U27" s="385">
        <v>1796</v>
      </c>
      <c r="V27" s="386">
        <v>1796</v>
      </c>
      <c r="W27" s="233"/>
      <c r="X27" s="233"/>
    </row>
    <row r="28" spans="1:24" ht="30" customHeight="1" x14ac:dyDescent="0.25">
      <c r="A28" s="110"/>
      <c r="B28" s="11"/>
      <c r="C28" s="119" t="s">
        <v>19</v>
      </c>
      <c r="D28" s="120" t="s">
        <v>16</v>
      </c>
      <c r="E28" s="419">
        <v>100105.60000000001</v>
      </c>
      <c r="F28" s="419">
        <v>103056.5</v>
      </c>
      <c r="G28" s="419">
        <v>118938.6</v>
      </c>
      <c r="H28" s="420">
        <v>107366.9</v>
      </c>
      <c r="I28" s="122">
        <v>110557</v>
      </c>
      <c r="J28" s="122">
        <v>108679.1</v>
      </c>
      <c r="K28" s="122">
        <v>111426.3</v>
      </c>
      <c r="L28" s="123">
        <v>110220.8</v>
      </c>
      <c r="M28" s="219">
        <v>111648.6</v>
      </c>
      <c r="N28" s="219">
        <v>107862</v>
      </c>
      <c r="O28" s="219">
        <v>109859.1</v>
      </c>
      <c r="P28" s="220">
        <v>109789.9</v>
      </c>
      <c r="Q28" s="305">
        <v>112013.37699999999</v>
      </c>
      <c r="R28" s="305">
        <v>113724.7</v>
      </c>
      <c r="S28" s="305">
        <v>123277.45300000001</v>
      </c>
      <c r="T28" s="306">
        <v>116338.51</v>
      </c>
      <c r="U28" s="387">
        <f>+E28+F28+G28+I28+J28+K28+M28+N28+O28+Q28+R28+S28</f>
        <v>1331148.33</v>
      </c>
      <c r="V28" s="388">
        <f>+U28/12</f>
        <v>110929.02750000001</v>
      </c>
      <c r="W28" s="233"/>
      <c r="X28" s="233"/>
    </row>
    <row r="29" spans="1:24" ht="30" customHeight="1" x14ac:dyDescent="0.25">
      <c r="A29" s="110"/>
      <c r="B29" s="11"/>
      <c r="C29" s="2" t="s">
        <v>20</v>
      </c>
      <c r="D29" s="100" t="s">
        <v>16</v>
      </c>
      <c r="E29" s="321">
        <v>5005.28</v>
      </c>
      <c r="F29" s="321">
        <v>5152.8249999999998</v>
      </c>
      <c r="G29" s="321">
        <v>5171.2434782608689</v>
      </c>
      <c r="H29" s="322">
        <v>5112.7095238095244</v>
      </c>
      <c r="I29" s="64">
        <v>5264.6190476190477</v>
      </c>
      <c r="J29" s="64">
        <v>5433.9549999999999</v>
      </c>
      <c r="K29" s="64">
        <v>5306.0142857142855</v>
      </c>
      <c r="L29" s="79">
        <v>5333.2645161290329</v>
      </c>
      <c r="M29" s="222">
        <v>5074.9363636363641</v>
      </c>
      <c r="N29" s="222">
        <v>4902.818181818182</v>
      </c>
      <c r="O29" s="222">
        <v>4993.5954545454542</v>
      </c>
      <c r="P29" s="223">
        <v>4990.45</v>
      </c>
      <c r="Q29" s="307">
        <v>5333.9703333333327</v>
      </c>
      <c r="R29" s="307">
        <v>5686.2349999999997</v>
      </c>
      <c r="S29" s="307">
        <v>5359.889260869566</v>
      </c>
      <c r="T29" s="308">
        <v>5453.3676562500004</v>
      </c>
      <c r="U29" s="389">
        <f>+U28/255</f>
        <v>5220.1895294117649</v>
      </c>
      <c r="V29" s="390">
        <v>5220.1895294117649</v>
      </c>
      <c r="W29" s="233"/>
      <c r="X29" s="233"/>
    </row>
    <row r="30" spans="1:24" ht="30" customHeight="1" x14ac:dyDescent="0.25">
      <c r="A30" s="110"/>
      <c r="B30" s="11"/>
      <c r="C30" s="2" t="s">
        <v>22</v>
      </c>
      <c r="D30" s="100" t="s">
        <v>219</v>
      </c>
      <c r="E30" s="321">
        <f t="shared" ref="E30:U30" si="0">+E31/E28*1000</f>
        <v>2411.3169493015371</v>
      </c>
      <c r="F30" s="321">
        <f t="shared" si="0"/>
        <v>2261.4635661020898</v>
      </c>
      <c r="G30" s="321">
        <f t="shared" si="0"/>
        <v>2323.9825422528934</v>
      </c>
      <c r="H30" s="322">
        <f t="shared" si="0"/>
        <v>2331.1221614855231</v>
      </c>
      <c r="I30" s="321">
        <f t="shared" si="0"/>
        <v>2460.3585480792713</v>
      </c>
      <c r="J30" s="321">
        <f t="shared" si="0"/>
        <v>2411.2437441973661</v>
      </c>
      <c r="K30" s="321">
        <f t="shared" si="0"/>
        <v>2499.588517253108</v>
      </c>
      <c r="L30" s="322">
        <f t="shared" si="0"/>
        <v>2457.4356201370338</v>
      </c>
      <c r="M30" s="321">
        <f t="shared" si="0"/>
        <v>2522.3585427851312</v>
      </c>
      <c r="N30" s="321">
        <f t="shared" si="0"/>
        <v>2601.7094991748718</v>
      </c>
      <c r="O30" s="321">
        <f t="shared" si="0"/>
        <v>2611.4210839156699</v>
      </c>
      <c r="P30" s="322">
        <f t="shared" si="0"/>
        <v>2578.0506221428382</v>
      </c>
      <c r="Q30" s="321">
        <f t="shared" si="0"/>
        <v>2579.573152231631</v>
      </c>
      <c r="R30" s="321">
        <f t="shared" si="0"/>
        <v>2607.6569118230254</v>
      </c>
      <c r="S30" s="321">
        <f t="shared" si="0"/>
        <v>2760.7392245522792</v>
      </c>
      <c r="T30" s="322">
        <f t="shared" si="0"/>
        <v>2652.7146227561848</v>
      </c>
      <c r="U30" s="321">
        <f t="shared" si="0"/>
        <v>2507.9158533745072</v>
      </c>
      <c r="V30" s="390">
        <v>2507.9158533745072</v>
      </c>
      <c r="W30" s="233"/>
      <c r="X30" s="233"/>
    </row>
    <row r="31" spans="1:24" ht="30" customHeight="1" x14ac:dyDescent="0.25">
      <c r="A31" s="110"/>
      <c r="B31" s="11"/>
      <c r="C31" s="124" t="s">
        <v>26</v>
      </c>
      <c r="D31" s="125" t="s">
        <v>9</v>
      </c>
      <c r="E31" s="419">
        <v>241386.33</v>
      </c>
      <c r="F31" s="419">
        <v>233058.52</v>
      </c>
      <c r="G31" s="419">
        <v>276411.23</v>
      </c>
      <c r="H31" s="420">
        <v>250285.36</v>
      </c>
      <c r="I31" s="122">
        <v>272009.86</v>
      </c>
      <c r="J31" s="122">
        <v>262051.8</v>
      </c>
      <c r="K31" s="122">
        <v>278519.90000000002</v>
      </c>
      <c r="L31" s="123">
        <v>270860.52</v>
      </c>
      <c r="M31" s="219">
        <v>281617.8</v>
      </c>
      <c r="N31" s="219">
        <v>280625.59000000003</v>
      </c>
      <c r="O31" s="219">
        <v>286888.37</v>
      </c>
      <c r="P31" s="220">
        <v>283043.92</v>
      </c>
      <c r="Q31" s="315">
        <v>288946.7</v>
      </c>
      <c r="R31" s="315">
        <v>296555</v>
      </c>
      <c r="S31" s="315">
        <v>340336.9</v>
      </c>
      <c r="T31" s="316">
        <v>308612.86666666664</v>
      </c>
      <c r="U31" s="387">
        <f>+E31+F31+G31+I31+J31+K31+M31+N31+O31+Q31+R31+S31</f>
        <v>3338408.0000000005</v>
      </c>
      <c r="V31" s="391">
        <f>+U31/12</f>
        <v>278200.66666666669</v>
      </c>
      <c r="W31" s="233"/>
      <c r="X31" s="233"/>
    </row>
    <row r="32" spans="1:24" ht="33" customHeight="1" thickBot="1" x14ac:dyDescent="0.3">
      <c r="A32" s="111"/>
      <c r="B32" s="13"/>
      <c r="C32" s="341" t="s">
        <v>20</v>
      </c>
      <c r="D32" s="101" t="s">
        <v>9</v>
      </c>
      <c r="E32" s="394">
        <v>12069.316500000001</v>
      </c>
      <c r="F32" s="394">
        <v>11652.925999999999</v>
      </c>
      <c r="G32" s="394">
        <v>12017.879565217392</v>
      </c>
      <c r="H32" s="395">
        <v>11918.350476190477</v>
      </c>
      <c r="I32" s="417">
        <v>12952.850476190475</v>
      </c>
      <c r="J32" s="417">
        <v>13102.59</v>
      </c>
      <c r="K32" s="417">
        <v>13262.852380952381</v>
      </c>
      <c r="L32" s="418">
        <v>13106.154193548387</v>
      </c>
      <c r="M32" s="343">
        <v>12800.80909090909</v>
      </c>
      <c r="N32" s="343">
        <v>12755.708636363635</v>
      </c>
      <c r="O32" s="343">
        <v>13040.380454545455</v>
      </c>
      <c r="P32" s="344">
        <v>12865.632727272725</v>
      </c>
      <c r="Q32" s="348">
        <v>13759.366666666667</v>
      </c>
      <c r="R32" s="348">
        <v>14827.75</v>
      </c>
      <c r="S32" s="348">
        <v>14797.256521739129</v>
      </c>
      <c r="T32" s="349">
        <v>14466.228124999998</v>
      </c>
      <c r="U32" s="392">
        <f>+U31/255</f>
        <v>13091.796078431375</v>
      </c>
      <c r="V32" s="393">
        <v>13091.796078431375</v>
      </c>
      <c r="W32" s="233"/>
      <c r="X32" s="233"/>
    </row>
    <row r="33" spans="1:24" s="135" customFormat="1" ht="30" customHeight="1" thickTop="1" x14ac:dyDescent="0.25">
      <c r="A33" s="325"/>
      <c r="B33" s="119"/>
      <c r="C33" s="2"/>
      <c r="D33" s="326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50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5">
    <mergeCell ref="B13:B14"/>
    <mergeCell ref="B5:C6"/>
    <mergeCell ref="B7:C7"/>
    <mergeCell ref="B8:C8"/>
    <mergeCell ref="B11:B12"/>
  </mergeCells>
  <phoneticPr fontId="16" type="noConversion"/>
  <pageMargins left="0.19685039370078741" right="0.19685039370078741" top="0.98425196850393704" bottom="0.98425196850393704" header="0.51181102362204722" footer="0.51181102362204722"/>
  <pageSetup paperSize="9" scale="46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2057"/>
  <sheetViews>
    <sheetView topLeftCell="L16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37.8984375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5.89843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D1" s="410"/>
      <c r="E1" s="411"/>
      <c r="V1" s="38"/>
    </row>
    <row r="2" spans="1:24" ht="17.5" x14ac:dyDescent="0.35">
      <c r="A2" s="18" t="s">
        <v>0</v>
      </c>
      <c r="B2" s="18"/>
      <c r="C2" s="18"/>
      <c r="D2" s="410"/>
      <c r="E2" s="411"/>
    </row>
    <row r="3" spans="1:24" ht="24" customHeight="1" x14ac:dyDescent="0.35">
      <c r="A3" s="407" t="s">
        <v>42</v>
      </c>
      <c r="B3" s="412"/>
      <c r="C3" s="412"/>
      <c r="D3" s="413"/>
      <c r="E3" s="413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4" s="134" customFormat="1" ht="23.25" customHeight="1" thickBot="1" x14ac:dyDescent="0.3">
      <c r="A4" s="414" t="s">
        <v>233</v>
      </c>
      <c r="B4" s="415"/>
      <c r="C4" s="415"/>
      <c r="D4" s="416"/>
      <c r="E4" s="416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4" ht="42" customHeight="1" thickTop="1" thickBot="1" x14ac:dyDescent="0.45">
      <c r="A5" s="112" t="s">
        <v>1</v>
      </c>
      <c r="B5" s="993" t="s">
        <v>2</v>
      </c>
      <c r="C5" s="993"/>
      <c r="D5" s="88" t="s">
        <v>3</v>
      </c>
      <c r="E5" s="142" t="s">
        <v>199</v>
      </c>
      <c r="F5" s="143" t="s">
        <v>200</v>
      </c>
      <c r="G5" s="142" t="s">
        <v>201</v>
      </c>
      <c r="H5" s="144" t="s">
        <v>202</v>
      </c>
      <c r="I5" s="143" t="s">
        <v>203</v>
      </c>
      <c r="J5" s="143" t="s">
        <v>204</v>
      </c>
      <c r="K5" s="143" t="s">
        <v>205</v>
      </c>
      <c r="L5" s="144" t="s">
        <v>206</v>
      </c>
      <c r="M5" s="143" t="s">
        <v>207</v>
      </c>
      <c r="N5" s="143" t="s">
        <v>208</v>
      </c>
      <c r="O5" s="143" t="s">
        <v>209</v>
      </c>
      <c r="P5" s="144" t="s">
        <v>210</v>
      </c>
      <c r="Q5" s="143" t="s">
        <v>211</v>
      </c>
      <c r="R5" s="143" t="s">
        <v>212</v>
      </c>
      <c r="S5" s="143" t="s">
        <v>213</v>
      </c>
      <c r="T5" s="144" t="s">
        <v>214</v>
      </c>
      <c r="U5" s="138" t="s">
        <v>46</v>
      </c>
      <c r="V5" s="139" t="s">
        <v>58</v>
      </c>
      <c r="W5" s="233"/>
      <c r="X5" s="233"/>
    </row>
    <row r="6" spans="1:24" ht="44.25" customHeight="1" thickTop="1" thickBot="1" x14ac:dyDescent="0.4">
      <c r="A6" s="102"/>
      <c r="B6" s="993"/>
      <c r="C6" s="993"/>
      <c r="D6" s="89" t="s">
        <v>4</v>
      </c>
      <c r="E6" s="16"/>
      <c r="F6" s="54"/>
      <c r="G6" s="16"/>
      <c r="H6" s="136" t="s">
        <v>45</v>
      </c>
      <c r="I6" s="237"/>
      <c r="J6" s="237"/>
      <c r="K6" s="237"/>
      <c r="L6" s="238" t="s">
        <v>45</v>
      </c>
      <c r="M6" s="237"/>
      <c r="N6" s="237"/>
      <c r="O6" s="237"/>
      <c r="P6" s="238" t="s">
        <v>45</v>
      </c>
      <c r="Q6" s="237"/>
      <c r="R6" s="237"/>
      <c r="S6" s="237"/>
      <c r="T6" s="238" t="s">
        <v>45</v>
      </c>
      <c r="U6" s="140" t="s">
        <v>53</v>
      </c>
      <c r="V6" s="141" t="s">
        <v>53</v>
      </c>
      <c r="W6" s="233"/>
      <c r="X6" s="233"/>
    </row>
    <row r="7" spans="1:24" ht="30" customHeight="1" thickTop="1" thickBot="1" x14ac:dyDescent="0.3">
      <c r="A7" s="103" t="s">
        <v>5</v>
      </c>
      <c r="B7" s="994" t="s">
        <v>6</v>
      </c>
      <c r="C7" s="994"/>
      <c r="D7" s="90"/>
      <c r="E7" s="184">
        <v>22</v>
      </c>
      <c r="F7" s="185">
        <v>21</v>
      </c>
      <c r="G7" s="184">
        <v>20</v>
      </c>
      <c r="H7" s="186">
        <f>AVERAGE(E7:G7)</f>
        <v>21</v>
      </c>
      <c r="I7" s="185">
        <v>21</v>
      </c>
      <c r="J7" s="185">
        <v>20</v>
      </c>
      <c r="K7" s="185">
        <v>21</v>
      </c>
      <c r="L7" s="186">
        <v>20.666666666666668</v>
      </c>
      <c r="M7" s="185">
        <v>23</v>
      </c>
      <c r="N7" s="185">
        <v>21</v>
      </c>
      <c r="O7" s="185">
        <v>22</v>
      </c>
      <c r="P7" s="186">
        <v>22</v>
      </c>
      <c r="Q7" s="281">
        <v>22</v>
      </c>
      <c r="R7" s="281">
        <v>20</v>
      </c>
      <c r="S7" s="281">
        <v>22</v>
      </c>
      <c r="T7" s="282">
        <v>21.333333333333332</v>
      </c>
      <c r="U7" s="359">
        <f>+E7+F7+G7+I7+J7+K7+M7+N7+O7+Q7+R7+S7</f>
        <v>255</v>
      </c>
      <c r="V7" s="360">
        <f>+U7/12</f>
        <v>21.25</v>
      </c>
      <c r="W7" s="233"/>
      <c r="X7" s="233"/>
    </row>
    <row r="8" spans="1:24" ht="30" customHeight="1" thickTop="1" thickBot="1" x14ac:dyDescent="0.3">
      <c r="A8" s="103" t="s">
        <v>7</v>
      </c>
      <c r="B8" s="994" t="s">
        <v>40</v>
      </c>
      <c r="C8" s="994"/>
      <c r="D8" s="90"/>
      <c r="E8" s="184">
        <v>53</v>
      </c>
      <c r="F8" s="185">
        <v>53</v>
      </c>
      <c r="G8" s="184">
        <v>53</v>
      </c>
      <c r="H8" s="186">
        <f>AVERAGE(E8:G8)</f>
        <v>53</v>
      </c>
      <c r="I8" s="185">
        <v>54</v>
      </c>
      <c r="J8" s="185">
        <v>54</v>
      </c>
      <c r="K8" s="185">
        <v>54</v>
      </c>
      <c r="L8" s="186">
        <v>54</v>
      </c>
      <c r="M8" s="185">
        <v>54</v>
      </c>
      <c r="N8" s="185">
        <v>53</v>
      </c>
      <c r="O8" s="185">
        <v>53</v>
      </c>
      <c r="P8" s="186">
        <v>53.333333333333336</v>
      </c>
      <c r="Q8" s="281">
        <v>53</v>
      </c>
      <c r="R8" s="281">
        <v>53</v>
      </c>
      <c r="S8" s="281">
        <v>53</v>
      </c>
      <c r="T8" s="282">
        <v>53</v>
      </c>
      <c r="U8" s="359" t="s">
        <v>182</v>
      </c>
      <c r="V8" s="360">
        <f>AVERAGE(E8+F8+G8+I8+J8+M8+K8+N8+O8+Q8+R8+S8)/12</f>
        <v>53.333333333333336</v>
      </c>
      <c r="W8" s="233"/>
      <c r="X8" s="233"/>
    </row>
    <row r="9" spans="1:24" ht="44.25" customHeight="1" thickTop="1" x14ac:dyDescent="0.35">
      <c r="A9" s="104" t="s">
        <v>12</v>
      </c>
      <c r="B9" s="129" t="s">
        <v>27</v>
      </c>
      <c r="C9" s="30" t="s">
        <v>181</v>
      </c>
      <c r="D9" s="91" t="s">
        <v>9</v>
      </c>
      <c r="E9" s="187">
        <v>97442.5</v>
      </c>
      <c r="F9" s="188">
        <v>92807</v>
      </c>
      <c r="G9" s="187">
        <v>95576.9</v>
      </c>
      <c r="H9" s="189">
        <f>AVERAGE(E9:G9)</f>
        <v>95275.466666666674</v>
      </c>
      <c r="I9" s="188">
        <v>112121.3</v>
      </c>
      <c r="J9" s="188">
        <v>104094.39999999999</v>
      </c>
      <c r="K9" s="188">
        <v>109749.4</v>
      </c>
      <c r="L9" s="189">
        <v>108655.03333333333</v>
      </c>
      <c r="M9" s="188">
        <v>115520.03</v>
      </c>
      <c r="N9" s="188">
        <v>105112.17</v>
      </c>
      <c r="O9" s="188">
        <v>111175.54</v>
      </c>
      <c r="P9" s="189">
        <v>110602.58</v>
      </c>
      <c r="Q9" s="285">
        <v>112642.74</v>
      </c>
      <c r="R9" s="285">
        <v>112540.09</v>
      </c>
      <c r="S9" s="285">
        <v>130175.81</v>
      </c>
      <c r="T9" s="286">
        <v>118452.88</v>
      </c>
      <c r="U9" s="362">
        <v>1323146.98</v>
      </c>
      <c r="V9" s="363">
        <v>110262.24833333335</v>
      </c>
      <c r="W9" s="317"/>
      <c r="X9" s="233"/>
    </row>
    <row r="10" spans="1:24" ht="30" customHeight="1" x14ac:dyDescent="0.25">
      <c r="A10" s="105"/>
      <c r="B10" s="130" t="s">
        <v>28</v>
      </c>
      <c r="C10" s="21" t="s">
        <v>10</v>
      </c>
      <c r="D10" s="92"/>
      <c r="E10" s="465">
        <f>E9/E15</f>
        <v>0.39404156821608971</v>
      </c>
      <c r="F10" s="466">
        <f>F9/F15</f>
        <v>0.40319875851953801</v>
      </c>
      <c r="G10" s="465">
        <f>G9/G15</f>
        <v>0.39737478006060178</v>
      </c>
      <c r="H10" s="445">
        <f>SUM(E9:G9)/SUM(E15:G15)</f>
        <v>0.39809383868103554</v>
      </c>
      <c r="I10" s="450">
        <v>0.42898073301213718</v>
      </c>
      <c r="J10" s="450">
        <v>0.42826003439265303</v>
      </c>
      <c r="K10" s="450">
        <v>0.42742413413814911</v>
      </c>
      <c r="L10" s="445">
        <v>0.42822552718104417</v>
      </c>
      <c r="M10" s="450">
        <v>0.42790034739854105</v>
      </c>
      <c r="N10" s="450">
        <v>0.42640589441343546</v>
      </c>
      <c r="O10" s="450">
        <v>0.42707654034917342</v>
      </c>
      <c r="P10" s="445">
        <v>0.42715002649735956</v>
      </c>
      <c r="Q10" s="480">
        <v>0.41921767042864189</v>
      </c>
      <c r="R10" s="481">
        <v>0.42785540217387169</v>
      </c>
      <c r="S10" s="481">
        <v>0.42548289188634419</v>
      </c>
      <c r="T10" s="482">
        <v>0.42418532149628591</v>
      </c>
      <c r="U10" s="483" t="s">
        <v>11</v>
      </c>
      <c r="V10" s="452">
        <v>0.42538152805971047</v>
      </c>
      <c r="W10" s="402"/>
      <c r="X10" s="402"/>
    </row>
    <row r="11" spans="1:24" ht="40.5" customHeight="1" x14ac:dyDescent="0.35">
      <c r="A11" s="105"/>
      <c r="B11" s="991" t="s">
        <v>29</v>
      </c>
      <c r="C11" s="24" t="s">
        <v>181</v>
      </c>
      <c r="D11" s="93" t="s">
        <v>9</v>
      </c>
      <c r="E11" s="194">
        <v>99063.8</v>
      </c>
      <c r="F11" s="195">
        <v>90128</v>
      </c>
      <c r="G11" s="194">
        <v>95720.3</v>
      </c>
      <c r="H11" s="196">
        <f>AVERAGE(E11:G11)</f>
        <v>94970.7</v>
      </c>
      <c r="I11" s="195">
        <v>98278</v>
      </c>
      <c r="J11" s="195">
        <v>91137.600000000006</v>
      </c>
      <c r="K11" s="195">
        <v>95376.9</v>
      </c>
      <c r="L11" s="196">
        <v>94930.833333333328</v>
      </c>
      <c r="M11" s="195">
        <v>100141.22</v>
      </c>
      <c r="N11" s="195">
        <v>94165.7</v>
      </c>
      <c r="O11" s="195">
        <v>97653.71</v>
      </c>
      <c r="P11" s="196">
        <v>97320.21</v>
      </c>
      <c r="Q11" s="289">
        <v>102128.18</v>
      </c>
      <c r="R11" s="289">
        <v>98497.48</v>
      </c>
      <c r="S11" s="289">
        <v>112310.22</v>
      </c>
      <c r="T11" s="290">
        <v>104311.96</v>
      </c>
      <c r="U11" s="366">
        <v>1167267.31</v>
      </c>
      <c r="V11" s="367">
        <v>97272.275833333319</v>
      </c>
      <c r="W11" s="402"/>
      <c r="X11" s="233"/>
    </row>
    <row r="12" spans="1:24" ht="30" customHeight="1" x14ac:dyDescent="0.25">
      <c r="A12" s="105"/>
      <c r="B12" s="991"/>
      <c r="C12" s="22" t="s">
        <v>10</v>
      </c>
      <c r="D12" s="94"/>
      <c r="E12" s="458">
        <f>E11/E15</f>
        <v>0.40059784083377448</v>
      </c>
      <c r="F12" s="451">
        <f>F11/F15</f>
        <v>0.39155987918851942</v>
      </c>
      <c r="G12" s="458">
        <f>G11/G15</f>
        <v>0.39797098629307731</v>
      </c>
      <c r="H12" s="445">
        <f>SUM(E11:G11)/SUM(E15:G15)</f>
        <v>0.39682041818276775</v>
      </c>
      <c r="I12" s="451">
        <v>0.37601569442172733</v>
      </c>
      <c r="J12" s="451">
        <v>0.37495380837455095</v>
      </c>
      <c r="K12" s="451">
        <v>0.37144976555025205</v>
      </c>
      <c r="L12" s="445">
        <v>0.37413642886832832</v>
      </c>
      <c r="M12" s="451">
        <v>0.37093535057871546</v>
      </c>
      <c r="N12" s="451">
        <v>0.38199962508211216</v>
      </c>
      <c r="O12" s="451">
        <v>0.37513295297743987</v>
      </c>
      <c r="P12" s="445">
        <v>0.37585316979250033</v>
      </c>
      <c r="Q12" s="484">
        <v>0.39232145655921841</v>
      </c>
      <c r="R12" s="485">
        <v>0.38039981700176562</v>
      </c>
      <c r="S12" s="485">
        <v>0.41798014495855007</v>
      </c>
      <c r="T12" s="486">
        <v>0.3969004728398447</v>
      </c>
      <c r="U12" s="460" t="s">
        <v>11</v>
      </c>
      <c r="V12" s="454">
        <v>0.37526741887885184</v>
      </c>
      <c r="W12" s="402"/>
      <c r="X12" s="233"/>
    </row>
    <row r="13" spans="1:24" ht="46.5" customHeight="1" x14ac:dyDescent="0.35">
      <c r="A13" s="105"/>
      <c r="B13" s="991" t="s">
        <v>30</v>
      </c>
      <c r="C13" s="23" t="s">
        <v>181</v>
      </c>
      <c r="D13" s="95" t="s">
        <v>9</v>
      </c>
      <c r="E13" s="200">
        <v>49658.400000000001</v>
      </c>
      <c r="F13" s="201">
        <v>46055.7</v>
      </c>
      <c r="G13" s="200">
        <v>48022.2</v>
      </c>
      <c r="H13" s="318">
        <f>AVERAGE(E13:G13)</f>
        <v>47912.1</v>
      </c>
      <c r="I13" s="201">
        <v>49601.7</v>
      </c>
      <c r="J13" s="201">
        <v>46489.2</v>
      </c>
      <c r="K13" s="201">
        <v>50236.1</v>
      </c>
      <c r="L13" s="196">
        <v>48775.666666666664</v>
      </c>
      <c r="M13" s="201">
        <v>52947</v>
      </c>
      <c r="N13" s="201">
        <v>45933.54</v>
      </c>
      <c r="O13" s="201">
        <v>50115.64</v>
      </c>
      <c r="P13" s="196">
        <v>49665.393333333333</v>
      </c>
      <c r="Q13" s="293">
        <v>52585.46</v>
      </c>
      <c r="R13" s="293">
        <v>50619.87</v>
      </c>
      <c r="S13" s="293">
        <v>62033.35</v>
      </c>
      <c r="T13" s="294">
        <v>55079.56</v>
      </c>
      <c r="U13" s="366">
        <v>603846.16</v>
      </c>
      <c r="V13" s="370">
        <v>50320.513333333336</v>
      </c>
      <c r="W13" s="402"/>
      <c r="X13" s="233"/>
    </row>
    <row r="14" spans="1:24" ht="30" customHeight="1" thickBot="1" x14ac:dyDescent="0.3">
      <c r="A14" s="106"/>
      <c r="B14" s="992"/>
      <c r="C14" s="31" t="s">
        <v>10</v>
      </c>
      <c r="D14" s="96"/>
      <c r="E14" s="473">
        <f>E13/E15</f>
        <v>0.20081046577316747</v>
      </c>
      <c r="F14" s="449">
        <f>F13/F15</f>
        <v>0.20008836685539114</v>
      </c>
      <c r="G14" s="473">
        <f>G13/G15</f>
        <v>0.19965923945039263</v>
      </c>
      <c r="H14" s="445">
        <f>SUM(E13:G13)/SUM(E15:G15)</f>
        <v>0.20019331812879748</v>
      </c>
      <c r="I14" s="449">
        <v>0.18977815655587407</v>
      </c>
      <c r="J14" s="449">
        <v>0.19126356836570385</v>
      </c>
      <c r="K14" s="449">
        <v>0.19564682399154323</v>
      </c>
      <c r="L14" s="445">
        <v>0.19223210311723757</v>
      </c>
      <c r="M14" s="449">
        <v>0.19612217633349432</v>
      </c>
      <c r="N14" s="449">
        <v>0.18633743559166663</v>
      </c>
      <c r="O14" s="449">
        <v>0.19251729425901282</v>
      </c>
      <c r="P14" s="445">
        <v>0.19180903445774156</v>
      </c>
      <c r="Q14" s="487">
        <v>0.19570505866262247</v>
      </c>
      <c r="R14" s="488">
        <v>0.19244684127086717</v>
      </c>
      <c r="S14" s="488">
        <v>0.20275755650299199</v>
      </c>
      <c r="T14" s="489">
        <v>0.19696981881216055</v>
      </c>
      <c r="U14" s="456" t="s">
        <v>11</v>
      </c>
      <c r="V14" s="457">
        <v>0.19413187358352918</v>
      </c>
      <c r="W14" s="233"/>
      <c r="X14" s="233"/>
    </row>
    <row r="15" spans="1:24" ht="30" customHeight="1" thickTop="1" x14ac:dyDescent="0.25">
      <c r="A15" s="104" t="s">
        <v>17</v>
      </c>
      <c r="B15" s="113" t="s">
        <v>13</v>
      </c>
      <c r="C15" s="114" t="s">
        <v>8</v>
      </c>
      <c r="D15" s="115" t="s">
        <v>9</v>
      </c>
      <c r="E15" s="206">
        <f>E17+E19</f>
        <v>247289.9</v>
      </c>
      <c r="F15" s="403">
        <f>F17+F19</f>
        <v>230176.80000000002</v>
      </c>
      <c r="G15" s="206">
        <f>G17+G19</f>
        <v>240520.80000000002</v>
      </c>
      <c r="H15" s="208">
        <f>AVERAGE(E15:G15)</f>
        <v>239329.16666666666</v>
      </c>
      <c r="I15" s="207">
        <v>261366.75</v>
      </c>
      <c r="J15" s="207">
        <v>243063.54</v>
      </c>
      <c r="K15" s="207">
        <v>256769.31</v>
      </c>
      <c r="L15" s="208">
        <v>253733.2</v>
      </c>
      <c r="M15" s="207">
        <v>269969.46999999997</v>
      </c>
      <c r="N15" s="207">
        <v>246507.31</v>
      </c>
      <c r="O15" s="207">
        <v>260317.6</v>
      </c>
      <c r="P15" s="208">
        <v>258931.46</v>
      </c>
      <c r="Q15" s="297">
        <v>268697.5</v>
      </c>
      <c r="R15" s="297">
        <v>263033</v>
      </c>
      <c r="S15" s="297">
        <v>305948.40000000002</v>
      </c>
      <c r="T15" s="298">
        <v>279226.3</v>
      </c>
      <c r="U15" s="373">
        <v>3110494.68</v>
      </c>
      <c r="V15" s="374">
        <v>259207.89</v>
      </c>
      <c r="W15" s="317"/>
      <c r="X15" s="233"/>
    </row>
    <row r="16" spans="1:24" ht="30" customHeight="1" x14ac:dyDescent="0.25">
      <c r="A16" s="105"/>
      <c r="B16" s="10" t="s">
        <v>14</v>
      </c>
      <c r="C16" s="12" t="s">
        <v>15</v>
      </c>
      <c r="D16" s="98" t="s">
        <v>9</v>
      </c>
      <c r="E16" s="209">
        <f>E15/E7</f>
        <v>11240.449999999999</v>
      </c>
      <c r="F16" s="404">
        <f>F15/F7</f>
        <v>10960.800000000001</v>
      </c>
      <c r="G16" s="209">
        <f>G15/G7</f>
        <v>12026.04</v>
      </c>
      <c r="H16" s="211">
        <f>SUM(E15:G15)/SUM(E7:G7)</f>
        <v>11396.626984126984</v>
      </c>
      <c r="I16" s="210">
        <v>12446.035714285714</v>
      </c>
      <c r="J16" s="210">
        <v>12153.177</v>
      </c>
      <c r="K16" s="210">
        <v>12227.11</v>
      </c>
      <c r="L16" s="211">
        <v>12277.412903225808</v>
      </c>
      <c r="M16" s="210">
        <v>11737.803043478259</v>
      </c>
      <c r="N16" s="210">
        <v>11738.443333333333</v>
      </c>
      <c r="O16" s="210">
        <v>11832.618181818181</v>
      </c>
      <c r="P16" s="211">
        <v>11769.611818181818</v>
      </c>
      <c r="Q16" s="299">
        <v>12213.522727272728</v>
      </c>
      <c r="R16" s="299">
        <v>13151.65</v>
      </c>
      <c r="S16" s="299">
        <v>13906.745454545455</v>
      </c>
      <c r="T16" s="300">
        <v>13088.7328125</v>
      </c>
      <c r="U16" s="375" t="s">
        <v>11</v>
      </c>
      <c r="V16" s="376">
        <v>12198.018352941175</v>
      </c>
      <c r="W16" s="233"/>
      <c r="X16" s="233"/>
    </row>
    <row r="17" spans="1:24" s="27" customFormat="1" ht="40.5" customHeight="1" x14ac:dyDescent="0.35">
      <c r="A17" s="107"/>
      <c r="B17" s="15" t="s">
        <v>36</v>
      </c>
      <c r="C17" s="23" t="s">
        <v>8</v>
      </c>
      <c r="D17" s="95" t="s">
        <v>9</v>
      </c>
      <c r="E17" s="200">
        <f>E9+E11+E13</f>
        <v>246164.69999999998</v>
      </c>
      <c r="F17" s="405">
        <f>F9+F11+F13</f>
        <v>228990.7</v>
      </c>
      <c r="G17" s="200">
        <f>G9+G11+G13</f>
        <v>239319.40000000002</v>
      </c>
      <c r="H17" s="202">
        <f>AVERAGE(E17:G17)</f>
        <v>238158.26666666669</v>
      </c>
      <c r="I17" s="201">
        <v>260001.03</v>
      </c>
      <c r="J17" s="201">
        <v>241721.09</v>
      </c>
      <c r="K17" s="201">
        <v>255362.35</v>
      </c>
      <c r="L17" s="202">
        <v>252361.49</v>
      </c>
      <c r="M17" s="201">
        <v>268608.25</v>
      </c>
      <c r="N17" s="201">
        <v>245211.41</v>
      </c>
      <c r="O17" s="201">
        <v>258944.89</v>
      </c>
      <c r="P17" s="202">
        <v>257588.18333333335</v>
      </c>
      <c r="Q17" s="293">
        <v>267356.38</v>
      </c>
      <c r="R17" s="293">
        <v>261657.44</v>
      </c>
      <c r="S17" s="293">
        <v>304519.38</v>
      </c>
      <c r="T17" s="294">
        <v>277844.40000000002</v>
      </c>
      <c r="U17" s="366">
        <v>3094260.32</v>
      </c>
      <c r="V17" s="370">
        <v>257855.02666666664</v>
      </c>
      <c r="W17" s="234"/>
      <c r="X17" s="234"/>
    </row>
    <row r="18" spans="1:24" s="25" customFormat="1" ht="30" customHeight="1" x14ac:dyDescent="0.25">
      <c r="A18" s="108"/>
      <c r="B18" s="9" t="s">
        <v>32</v>
      </c>
      <c r="C18" s="26" t="s">
        <v>10</v>
      </c>
      <c r="D18" s="94"/>
      <c r="E18" s="458">
        <f>E17/E15</f>
        <v>0.9954498748230316</v>
      </c>
      <c r="F18" s="459">
        <f>F17/F15</f>
        <v>0.99484700456344854</v>
      </c>
      <c r="G18" s="458">
        <f>G17/G15</f>
        <v>0.99500500580407181</v>
      </c>
      <c r="H18" s="447">
        <f>SUM(E17:G17)/SUM(E15:G15)</f>
        <v>0.99510757499260094</v>
      </c>
      <c r="I18" s="451">
        <v>0.9947746987709799</v>
      </c>
      <c r="J18" s="451">
        <v>0.99447695857634588</v>
      </c>
      <c r="K18" s="451">
        <v>0.99452052895262288</v>
      </c>
      <c r="L18" s="447">
        <v>0.99459388838354601</v>
      </c>
      <c r="M18" s="451">
        <v>0.99495787431075089</v>
      </c>
      <c r="N18" s="451">
        <v>0.99474295508721422</v>
      </c>
      <c r="O18" s="451">
        <v>0.99472678758562616</v>
      </c>
      <c r="P18" s="447">
        <v>0.99480920566119702</v>
      </c>
      <c r="Q18" s="484">
        <v>0.99500881102354877</v>
      </c>
      <c r="R18" s="485">
        <v>0.99477039002710688</v>
      </c>
      <c r="S18" s="484">
        <v>0.99532921237698901</v>
      </c>
      <c r="T18" s="486">
        <v>0.99503613780921485</v>
      </c>
      <c r="U18" s="460" t="s">
        <v>11</v>
      </c>
      <c r="V18" s="454">
        <v>0.99478077872809612</v>
      </c>
      <c r="W18" s="235"/>
      <c r="X18" s="235"/>
    </row>
    <row r="19" spans="1:24" s="27" customFormat="1" ht="40.5" customHeight="1" x14ac:dyDescent="0.35">
      <c r="A19" s="107"/>
      <c r="B19" s="15" t="s">
        <v>36</v>
      </c>
      <c r="C19" s="23" t="s">
        <v>8</v>
      </c>
      <c r="D19" s="95" t="s">
        <v>9</v>
      </c>
      <c r="E19" s="200">
        <v>1125.2</v>
      </c>
      <c r="F19" s="405">
        <v>1186.0999999999999</v>
      </c>
      <c r="G19" s="200">
        <v>1201.4000000000001</v>
      </c>
      <c r="H19" s="202">
        <f>AVERAGE(E19:G19)</f>
        <v>1170.9000000000001</v>
      </c>
      <c r="I19" s="201">
        <v>1365.72</v>
      </c>
      <c r="J19" s="201">
        <v>1342.45</v>
      </c>
      <c r="K19" s="201">
        <v>1406.96</v>
      </c>
      <c r="L19" s="202">
        <v>1371.71</v>
      </c>
      <c r="M19" s="201">
        <v>1361.22</v>
      </c>
      <c r="N19" s="201">
        <v>1295.9000000000001</v>
      </c>
      <c r="O19" s="201">
        <v>1372.71</v>
      </c>
      <c r="P19" s="202">
        <v>1343.2766666666666</v>
      </c>
      <c r="Q19" s="293">
        <v>1341.12</v>
      </c>
      <c r="R19" s="293">
        <v>1375.56</v>
      </c>
      <c r="S19" s="293">
        <v>1429.02</v>
      </c>
      <c r="T19" s="294">
        <v>1381.9</v>
      </c>
      <c r="U19" s="366">
        <v>16234.36</v>
      </c>
      <c r="V19" s="370">
        <v>1352.8633333333332</v>
      </c>
      <c r="W19" s="234"/>
      <c r="X19" s="234"/>
    </row>
    <row r="20" spans="1:24" s="25" customFormat="1" ht="30" customHeight="1" thickBot="1" x14ac:dyDescent="0.3">
      <c r="A20" s="109"/>
      <c r="B20" s="32" t="s">
        <v>31</v>
      </c>
      <c r="C20" s="33" t="s">
        <v>10</v>
      </c>
      <c r="D20" s="96"/>
      <c r="E20" s="473">
        <f>E19/E15</f>
        <v>4.550125176968409E-3</v>
      </c>
      <c r="F20" s="455">
        <f>F19/F15</f>
        <v>5.1529954365513806E-3</v>
      </c>
      <c r="G20" s="473">
        <f>G19/G15</f>
        <v>4.9949941959281695E-3</v>
      </c>
      <c r="H20" s="446">
        <f>SUM(E19:G19)/SUM(E15:G15)</f>
        <v>4.8924250073991539E-3</v>
      </c>
      <c r="I20" s="449">
        <v>5.2253012290201413E-3</v>
      </c>
      <c r="J20" s="449">
        <v>5.5230414236540782E-3</v>
      </c>
      <c r="K20" s="449">
        <v>5.4794710473771184E-3</v>
      </c>
      <c r="L20" s="446">
        <v>5.4061116164538176E-3</v>
      </c>
      <c r="M20" s="449">
        <v>5.0421256892492329E-3</v>
      </c>
      <c r="N20" s="449">
        <v>5.2570449127857513E-3</v>
      </c>
      <c r="O20" s="449">
        <v>5.2732124143738263E-3</v>
      </c>
      <c r="P20" s="446">
        <v>5.1907943388029365E-3</v>
      </c>
      <c r="Q20" s="487">
        <v>4.991188976451213E-3</v>
      </c>
      <c r="R20" s="488">
        <v>5.2296099728931346E-3</v>
      </c>
      <c r="S20" s="488">
        <v>4.6707876230109389E-3</v>
      </c>
      <c r="T20" s="489">
        <v>4.9638621907850955E-3</v>
      </c>
      <c r="U20" s="456" t="s">
        <v>11</v>
      </c>
      <c r="V20" s="457">
        <v>5.2192212719039278E-3</v>
      </c>
      <c r="W20" s="235"/>
      <c r="X20" s="235"/>
    </row>
    <row r="21" spans="1:24" ht="30" customHeight="1" thickTop="1" x14ac:dyDescent="0.25">
      <c r="A21" s="104" t="s">
        <v>24</v>
      </c>
      <c r="B21" s="113" t="s">
        <v>37</v>
      </c>
      <c r="C21" s="114" t="s">
        <v>19</v>
      </c>
      <c r="D21" s="115" t="s">
        <v>16</v>
      </c>
      <c r="E21" s="206">
        <f>E23+E25</f>
        <v>92145.5</v>
      </c>
      <c r="F21" s="403">
        <f>F23+F25</f>
        <v>91209.1</v>
      </c>
      <c r="G21" s="206">
        <f>G23+G25</f>
        <v>93892.200000000012</v>
      </c>
      <c r="H21" s="208">
        <f>AVERAGE(E21:G21)</f>
        <v>92415.60000000002</v>
      </c>
      <c r="I21" s="207">
        <v>106973.83</v>
      </c>
      <c r="J21" s="207">
        <v>101145.34</v>
      </c>
      <c r="K21" s="207">
        <v>106421.59</v>
      </c>
      <c r="L21" s="208">
        <v>104846.92</v>
      </c>
      <c r="M21" s="207">
        <v>108450</v>
      </c>
      <c r="N21" s="207">
        <v>98275.82</v>
      </c>
      <c r="O21" s="207">
        <v>104175.5</v>
      </c>
      <c r="P21" s="208">
        <v>103633.77333333333</v>
      </c>
      <c r="Q21" s="297">
        <v>107286.7</v>
      </c>
      <c r="R21" s="297">
        <v>105603.9</v>
      </c>
      <c r="S21" s="297">
        <v>116416.614</v>
      </c>
      <c r="T21" s="298">
        <v>109769.07133333333</v>
      </c>
      <c r="U21" s="373">
        <v>1259056.3400000001</v>
      </c>
      <c r="V21" s="377">
        <v>104921.36166666668</v>
      </c>
      <c r="W21" s="233"/>
      <c r="X21" s="233"/>
    </row>
    <row r="22" spans="1:24" ht="30" customHeight="1" x14ac:dyDescent="0.25">
      <c r="A22" s="105"/>
      <c r="B22" s="10" t="s">
        <v>14</v>
      </c>
      <c r="C22" s="29" t="s">
        <v>38</v>
      </c>
      <c r="D22" s="99" t="s">
        <v>16</v>
      </c>
      <c r="E22" s="212">
        <f>E21/E7</f>
        <v>4188.431818181818</v>
      </c>
      <c r="F22" s="406">
        <f>F21/F7</f>
        <v>4343.2904761904765</v>
      </c>
      <c r="G22" s="212">
        <f>G21/G7</f>
        <v>4694.6100000000006</v>
      </c>
      <c r="H22" s="214">
        <f>SUM(E21:G21)/SUM(E7:G7)</f>
        <v>4400.7428571428582</v>
      </c>
      <c r="I22" s="213">
        <v>5093.9919047619051</v>
      </c>
      <c r="J22" s="213">
        <v>5057.2670000000007</v>
      </c>
      <c r="K22" s="213">
        <v>5067.6947619047623</v>
      </c>
      <c r="L22" s="214">
        <v>5073.2380645161293</v>
      </c>
      <c r="M22" s="213">
        <v>4715.217391304348</v>
      </c>
      <c r="N22" s="213">
        <v>4679.8009523809524</v>
      </c>
      <c r="O22" s="213">
        <v>4735.25</v>
      </c>
      <c r="P22" s="214">
        <f>+(+M21+N21+O21)/66</f>
        <v>4710.6260606060605</v>
      </c>
      <c r="Q22" s="301">
        <v>4876.6681818181814</v>
      </c>
      <c r="R22" s="301">
        <v>5280.1949999999997</v>
      </c>
      <c r="S22" s="301">
        <v>5291.6642727272729</v>
      </c>
      <c r="T22" s="302">
        <v>5145.4252187499997</v>
      </c>
      <c r="U22" s="378"/>
      <c r="V22" s="379">
        <v>4937.4758431372557</v>
      </c>
      <c r="W22" s="233"/>
      <c r="X22" s="233"/>
    </row>
    <row r="23" spans="1:24" s="27" customFormat="1" ht="42.75" customHeight="1" x14ac:dyDescent="0.35">
      <c r="A23" s="107"/>
      <c r="B23" s="15" t="s">
        <v>36</v>
      </c>
      <c r="C23" s="86" t="s">
        <v>19</v>
      </c>
      <c r="D23" s="95" t="s">
        <v>16</v>
      </c>
      <c r="E23" s="200">
        <v>90524.5</v>
      </c>
      <c r="F23" s="201">
        <v>89667.6</v>
      </c>
      <c r="G23" s="200">
        <v>92178.1</v>
      </c>
      <c r="H23" s="202">
        <f>AVERAGE(E23:G23)</f>
        <v>90790.066666666666</v>
      </c>
      <c r="I23" s="201">
        <v>105240.27</v>
      </c>
      <c r="J23" s="201">
        <v>99398.46</v>
      </c>
      <c r="K23" s="201">
        <v>104593.74</v>
      </c>
      <c r="L23" s="202">
        <v>103077.49</v>
      </c>
      <c r="M23" s="201">
        <v>106591.6</v>
      </c>
      <c r="N23" s="201">
        <v>96502.86</v>
      </c>
      <c r="O23" s="201">
        <v>102433.5</v>
      </c>
      <c r="P23" s="202">
        <v>101842.65333333334</v>
      </c>
      <c r="Q23" s="293">
        <v>105495</v>
      </c>
      <c r="R23" s="293">
        <v>103816.7</v>
      </c>
      <c r="S23" s="293">
        <v>114555.9</v>
      </c>
      <c r="T23" s="294">
        <v>107955.86666666665</v>
      </c>
      <c r="U23" s="366">
        <v>1237619.706</v>
      </c>
      <c r="V23" s="370">
        <v>103134.9755</v>
      </c>
      <c r="W23" s="234"/>
      <c r="X23" s="234"/>
    </row>
    <row r="24" spans="1:24" s="25" customFormat="1" ht="30" customHeight="1" x14ac:dyDescent="0.25">
      <c r="A24" s="108"/>
      <c r="B24" s="9" t="s">
        <v>32</v>
      </c>
      <c r="C24" s="20" t="s">
        <v>21</v>
      </c>
      <c r="D24" s="94"/>
      <c r="E24" s="458">
        <f>E23/E21</f>
        <v>0.98240825650737151</v>
      </c>
      <c r="F24" s="451">
        <f>F23/F21</f>
        <v>0.98309927408559017</v>
      </c>
      <c r="G24" s="458">
        <f>G23/G21</f>
        <v>0.98174395743203369</v>
      </c>
      <c r="H24" s="447">
        <f>SUM(E23:G23)/SUM(E21:G21)</f>
        <v>0.98241061754364689</v>
      </c>
      <c r="I24" s="451">
        <v>0.98379454115085907</v>
      </c>
      <c r="J24" s="451">
        <v>0.98272901153923642</v>
      </c>
      <c r="K24" s="451">
        <v>0.98282444379942069</v>
      </c>
      <c r="L24" s="447">
        <v>0.98312368164939901</v>
      </c>
      <c r="M24" s="451">
        <v>0.9828639926233288</v>
      </c>
      <c r="N24" s="451">
        <v>0.9819593466632992</v>
      </c>
      <c r="O24" s="451">
        <v>0.98327821800711301</v>
      </c>
      <c r="P24" s="447">
        <v>0.98270051909791378</v>
      </c>
      <c r="Q24" s="484">
        <v>0.98329988712487193</v>
      </c>
      <c r="R24" s="485">
        <v>0.9830763825957185</v>
      </c>
      <c r="S24" s="484">
        <v>0.98401676585439934</v>
      </c>
      <c r="T24" s="486">
        <v>0.98346434519166326</v>
      </c>
      <c r="U24" s="461" t="s">
        <v>11</v>
      </c>
      <c r="V24" s="462">
        <v>0.98297404705495539</v>
      </c>
      <c r="W24" s="235"/>
      <c r="X24" s="236"/>
    </row>
    <row r="25" spans="1:24" s="27" customFormat="1" ht="37.5" customHeight="1" x14ac:dyDescent="0.35">
      <c r="A25" s="107"/>
      <c r="B25" s="15" t="s">
        <v>36</v>
      </c>
      <c r="C25" s="87" t="s">
        <v>19</v>
      </c>
      <c r="D25" s="95" t="s">
        <v>16</v>
      </c>
      <c r="E25" s="200">
        <v>1621</v>
      </c>
      <c r="F25" s="201">
        <v>1541.5</v>
      </c>
      <c r="G25" s="200">
        <v>1714.1</v>
      </c>
      <c r="H25" s="202">
        <f>AVERAGE(E25:G25)</f>
        <v>1625.5333333333335</v>
      </c>
      <c r="I25" s="201">
        <v>1733.56</v>
      </c>
      <c r="J25" s="201">
        <v>1746.88</v>
      </c>
      <c r="K25" s="201">
        <v>1827.85</v>
      </c>
      <c r="L25" s="202">
        <v>1769.43</v>
      </c>
      <c r="M25" s="401">
        <v>1858.4</v>
      </c>
      <c r="N25" s="201">
        <v>1772.96</v>
      </c>
      <c r="O25" s="201">
        <v>1742</v>
      </c>
      <c r="P25" s="202">
        <v>1791.12</v>
      </c>
      <c r="Q25" s="293">
        <v>1791.7</v>
      </c>
      <c r="R25" s="293">
        <v>1787.2</v>
      </c>
      <c r="S25" s="293">
        <v>1860.7139999999999</v>
      </c>
      <c r="T25" s="294">
        <v>1813.2046666666665</v>
      </c>
      <c r="U25" s="366">
        <v>21436.633999999998</v>
      </c>
      <c r="V25" s="382">
        <v>1786.3861666666664</v>
      </c>
      <c r="W25" s="234"/>
      <c r="X25" s="234"/>
    </row>
    <row r="26" spans="1:24" s="25" customFormat="1" ht="30" customHeight="1" thickBot="1" x14ac:dyDescent="0.3">
      <c r="A26" s="109"/>
      <c r="B26" s="32" t="s">
        <v>31</v>
      </c>
      <c r="C26" s="33" t="s">
        <v>21</v>
      </c>
      <c r="D26" s="96"/>
      <c r="E26" s="473">
        <f>E25/E21</f>
        <v>1.7591743492628507E-2</v>
      </c>
      <c r="F26" s="449">
        <f>F25/F21</f>
        <v>1.6900725914409855E-2</v>
      </c>
      <c r="G26" s="473">
        <f>G25/G21</f>
        <v>1.825604256796624E-2</v>
      </c>
      <c r="H26" s="446">
        <f>SUM(E25:G25)/SUM(E21:G21)</f>
        <v>1.7589382456352966E-2</v>
      </c>
      <c r="I26" s="449">
        <v>1.6205458849140951E-2</v>
      </c>
      <c r="J26" s="449">
        <v>1.7270988460763491E-2</v>
      </c>
      <c r="K26" s="449">
        <v>1.7175556200579221E-2</v>
      </c>
      <c r="L26" s="446">
        <v>1.6876318350601046E-2</v>
      </c>
      <c r="M26" s="449">
        <v>1.7136007376671279E-2</v>
      </c>
      <c r="N26" s="449">
        <v>1.8040653336700727E-2</v>
      </c>
      <c r="O26" s="449">
        <v>1.6721781992887003E-2</v>
      </c>
      <c r="P26" s="446">
        <v>1.7299480902086339E-2</v>
      </c>
      <c r="Q26" s="487">
        <v>1.6700112875128046E-2</v>
      </c>
      <c r="R26" s="488">
        <v>1.6923617404281471E-2</v>
      </c>
      <c r="S26" s="488">
        <v>1.5983234145600558E-2</v>
      </c>
      <c r="T26" s="489">
        <v>1.653565480833669E-2</v>
      </c>
      <c r="U26" s="463" t="s">
        <v>11</v>
      </c>
      <c r="V26" s="464">
        <v>1.7025952945044536E-2</v>
      </c>
      <c r="W26" s="235"/>
      <c r="X26" s="235"/>
    </row>
    <row r="27" spans="1:24" ht="30" customHeight="1" thickTop="1" x14ac:dyDescent="0.25">
      <c r="A27" s="104" t="s">
        <v>33</v>
      </c>
      <c r="B27" s="113" t="s">
        <v>34</v>
      </c>
      <c r="C27" s="177" t="s">
        <v>18</v>
      </c>
      <c r="D27" s="97"/>
      <c r="E27" s="215">
        <v>1817</v>
      </c>
      <c r="F27" s="216">
        <v>1818</v>
      </c>
      <c r="G27" s="215">
        <v>1818</v>
      </c>
      <c r="H27" s="217">
        <v>1817.6666666666667</v>
      </c>
      <c r="I27" s="216">
        <v>1826</v>
      </c>
      <c r="J27" s="216">
        <v>1829</v>
      </c>
      <c r="K27" s="216">
        <v>1829</v>
      </c>
      <c r="L27" s="217">
        <v>1828</v>
      </c>
      <c r="M27" s="216">
        <v>1829</v>
      </c>
      <c r="N27" s="216">
        <v>1827</v>
      </c>
      <c r="O27" s="216">
        <v>1827</v>
      </c>
      <c r="P27" s="217">
        <v>1827.6666666666667</v>
      </c>
      <c r="Q27" s="303">
        <v>1828</v>
      </c>
      <c r="R27" s="303">
        <v>1828</v>
      </c>
      <c r="S27" s="303">
        <v>1829</v>
      </c>
      <c r="T27" s="304">
        <v>1829</v>
      </c>
      <c r="U27" s="385" t="s">
        <v>11</v>
      </c>
      <c r="V27" s="386">
        <v>1826.5</v>
      </c>
      <c r="W27" s="233"/>
      <c r="X27" s="233"/>
    </row>
    <row r="28" spans="1:24" ht="30" customHeight="1" x14ac:dyDescent="0.25">
      <c r="A28" s="110"/>
      <c r="B28" s="11"/>
      <c r="C28" s="119" t="s">
        <v>19</v>
      </c>
      <c r="D28" s="120" t="s">
        <v>16</v>
      </c>
      <c r="E28" s="218">
        <v>92145.5</v>
      </c>
      <c r="F28" s="219">
        <v>91209.1</v>
      </c>
      <c r="G28" s="218">
        <v>93892.2</v>
      </c>
      <c r="H28" s="220">
        <v>92415.6</v>
      </c>
      <c r="I28" s="219">
        <v>106973.83</v>
      </c>
      <c r="J28" s="219">
        <v>101145.34</v>
      </c>
      <c r="K28" s="219">
        <v>106421.59</v>
      </c>
      <c r="L28" s="220">
        <v>104846.92</v>
      </c>
      <c r="M28" s="219">
        <v>108450</v>
      </c>
      <c r="N28" s="219">
        <v>98275.82</v>
      </c>
      <c r="O28" s="219">
        <v>104175.5</v>
      </c>
      <c r="P28" s="220">
        <v>103633.77333333333</v>
      </c>
      <c r="Q28" s="305">
        <v>107286.7</v>
      </c>
      <c r="R28" s="305">
        <v>105603.9</v>
      </c>
      <c r="S28" s="305">
        <v>116416.614</v>
      </c>
      <c r="T28" s="306">
        <v>109769.07133333333</v>
      </c>
      <c r="U28" s="387">
        <v>1259056.3400000001</v>
      </c>
      <c r="V28" s="388">
        <v>104921.36166666668</v>
      </c>
      <c r="W28" s="233"/>
      <c r="X28" s="233"/>
    </row>
    <row r="29" spans="1:24" ht="30" customHeight="1" x14ac:dyDescent="0.25">
      <c r="A29" s="110"/>
      <c r="B29" s="11"/>
      <c r="C29" s="2" t="s">
        <v>20</v>
      </c>
      <c r="D29" s="100" t="s">
        <v>16</v>
      </c>
      <c r="E29" s="221">
        <v>4188.431818181818</v>
      </c>
      <c r="F29" s="222">
        <v>4343.2904761904765</v>
      </c>
      <c r="G29" s="221">
        <v>4694.6099999999997</v>
      </c>
      <c r="H29" s="223">
        <v>4400.7428571428582</v>
      </c>
      <c r="I29" s="222">
        <v>5093.9919047619051</v>
      </c>
      <c r="J29" s="222">
        <v>5057.2670000000007</v>
      </c>
      <c r="K29" s="222">
        <v>5067.6947619047623</v>
      </c>
      <c r="L29" s="223">
        <v>5073.2380645161293</v>
      </c>
      <c r="M29" s="213">
        <v>4715.217391304348</v>
      </c>
      <c r="N29" s="213">
        <v>4679.8009523809524</v>
      </c>
      <c r="O29" s="213">
        <v>4735.25</v>
      </c>
      <c r="P29" s="223">
        <v>4710.6260606060605</v>
      </c>
      <c r="Q29" s="307">
        <v>4876.6681818181814</v>
      </c>
      <c r="R29" s="307">
        <v>5280.1949999999997</v>
      </c>
      <c r="S29" s="307">
        <v>5291.6642727272729</v>
      </c>
      <c r="T29" s="308">
        <v>5145.4252187499997</v>
      </c>
      <c r="U29" s="389" t="s">
        <v>25</v>
      </c>
      <c r="V29" s="390">
        <v>4937.4758431372557</v>
      </c>
      <c r="W29" s="233"/>
      <c r="X29" s="233"/>
    </row>
    <row r="30" spans="1:24" ht="30" customHeight="1" x14ac:dyDescent="0.25">
      <c r="A30" s="110"/>
      <c r="B30" s="11"/>
      <c r="C30" s="2" t="s">
        <v>22</v>
      </c>
      <c r="D30" s="100" t="s">
        <v>23</v>
      </c>
      <c r="E30" s="221">
        <f>E31/E28*1000</f>
        <v>2683.6893825525935</v>
      </c>
      <c r="F30" s="221">
        <f t="shared" ref="F30:G30" si="0">F31/F28*1000</f>
        <v>2523.6166128160457</v>
      </c>
      <c r="G30" s="221">
        <f t="shared" si="0"/>
        <v>2561.6696594605305</v>
      </c>
      <c r="H30" s="223">
        <f>SUM(E31:G31)/SUM(E28:G28)*1000</f>
        <v>2589.7052734242561</v>
      </c>
      <c r="I30" s="222">
        <f>I31/I28*1000</f>
        <v>2443.2774819785363</v>
      </c>
      <c r="J30" s="222">
        <f t="shared" ref="J30:K30" si="1">J31/J28*1000</f>
        <v>2403.1116015824359</v>
      </c>
      <c r="K30" s="222">
        <f t="shared" si="1"/>
        <v>2412.7558139283578</v>
      </c>
      <c r="L30" s="223">
        <f>SUM(I31:K31)/SUM(I28:K28)*1000</f>
        <v>2420.034846994075</v>
      </c>
      <c r="M30" s="222">
        <f>M31/M28*1000</f>
        <v>2489.3450437989854</v>
      </c>
      <c r="N30" s="222">
        <f t="shared" ref="N30:O30" si="2">N31/N28*1000</f>
        <v>2508.3210702286683</v>
      </c>
      <c r="O30" s="222">
        <f t="shared" si="2"/>
        <v>2498.8370586174292</v>
      </c>
      <c r="P30" s="223">
        <f>SUM(M31:O31)/SUM(M28:O28)*1000</f>
        <v>2498.5239046267156</v>
      </c>
      <c r="Q30" s="307">
        <f>Q31/Q28*1000</f>
        <v>2504.48098412944</v>
      </c>
      <c r="R30" s="307">
        <f t="shared" ref="R30:S30" si="3">R31/R28*1000</f>
        <v>2490.7508150740646</v>
      </c>
      <c r="S30" s="307">
        <f t="shared" si="3"/>
        <v>2628.0475740344073</v>
      </c>
      <c r="T30" s="308">
        <f>SUM(Q31:S31)/SUM(Q28:S28)*1000</f>
        <v>2543.7611579319978</v>
      </c>
      <c r="U30" s="378" t="s">
        <v>11</v>
      </c>
      <c r="V30" s="390">
        <f>U31/U28*1000</f>
        <v>2470.4968166873296</v>
      </c>
      <c r="W30" s="233"/>
      <c r="X30" s="233"/>
    </row>
    <row r="31" spans="1:24" ht="30" customHeight="1" x14ac:dyDescent="0.25">
      <c r="A31" s="110"/>
      <c r="B31" s="11"/>
      <c r="C31" s="124" t="s">
        <v>26</v>
      </c>
      <c r="D31" s="125" t="s">
        <v>9</v>
      </c>
      <c r="E31" s="230">
        <v>247289.9</v>
      </c>
      <c r="F31" s="231">
        <v>230176.8</v>
      </c>
      <c r="G31" s="230">
        <v>240520.8</v>
      </c>
      <c r="H31" s="232">
        <v>239329.16666666666</v>
      </c>
      <c r="I31" s="231">
        <v>261366.75</v>
      </c>
      <c r="J31" s="231">
        <v>243063.54</v>
      </c>
      <c r="K31" s="231">
        <v>256769.31</v>
      </c>
      <c r="L31" s="232">
        <v>253733.2</v>
      </c>
      <c r="M31" s="231">
        <v>269969.46999999997</v>
      </c>
      <c r="N31" s="231">
        <v>246507.31</v>
      </c>
      <c r="O31" s="231">
        <v>260317.6</v>
      </c>
      <c r="P31" s="232">
        <v>258931.46</v>
      </c>
      <c r="Q31" s="315">
        <v>268697.5</v>
      </c>
      <c r="R31" s="315">
        <v>263033</v>
      </c>
      <c r="S31" s="315">
        <v>305948.40000000002</v>
      </c>
      <c r="T31" s="316">
        <v>279226.3</v>
      </c>
      <c r="U31" s="387">
        <v>3110494.68</v>
      </c>
      <c r="V31" s="391">
        <v>259207.89</v>
      </c>
      <c r="W31" s="233"/>
      <c r="X31" s="233"/>
    </row>
    <row r="32" spans="1:24" ht="33" customHeight="1" thickBot="1" x14ac:dyDescent="0.3">
      <c r="A32" s="111"/>
      <c r="B32" s="13"/>
      <c r="C32" s="341" t="s">
        <v>20</v>
      </c>
      <c r="D32" s="101" t="s">
        <v>9</v>
      </c>
      <c r="E32" s="342">
        <v>11240.45</v>
      </c>
      <c r="F32" s="343">
        <v>10960.8</v>
      </c>
      <c r="G32" s="342">
        <v>12026.04</v>
      </c>
      <c r="H32" s="344">
        <v>11396.626984126984</v>
      </c>
      <c r="I32" s="343">
        <v>12446.035714285714</v>
      </c>
      <c r="J32" s="343">
        <v>12153.177</v>
      </c>
      <c r="K32" s="343">
        <v>12227.11</v>
      </c>
      <c r="L32" s="344">
        <v>12277.412903225808</v>
      </c>
      <c r="M32" s="343">
        <v>11737.803043478259</v>
      </c>
      <c r="N32" s="343">
        <v>11738.443333333333</v>
      </c>
      <c r="O32" s="343">
        <v>11832.618181818181</v>
      </c>
      <c r="P32" s="344">
        <v>11769.611818181818</v>
      </c>
      <c r="Q32" s="348">
        <v>12213.522727272728</v>
      </c>
      <c r="R32" s="348">
        <v>13151.65</v>
      </c>
      <c r="S32" s="348">
        <v>13906.745454545455</v>
      </c>
      <c r="T32" s="349">
        <v>13088.7328125</v>
      </c>
      <c r="U32" s="392" t="s">
        <v>11</v>
      </c>
      <c r="V32" s="393">
        <v>12198.018352941175</v>
      </c>
      <c r="W32" s="233"/>
      <c r="X32" s="233"/>
    </row>
    <row r="33" spans="1:24" s="135" customFormat="1" ht="30" customHeight="1" thickTop="1" x14ac:dyDescent="0.25">
      <c r="A33" s="325"/>
      <c r="B33" s="119"/>
      <c r="C33" s="2"/>
      <c r="D33" s="326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50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5">
    <mergeCell ref="B13:B14"/>
    <mergeCell ref="B5:C6"/>
    <mergeCell ref="B7:C7"/>
    <mergeCell ref="B8:C8"/>
    <mergeCell ref="B11:B12"/>
  </mergeCells>
  <phoneticPr fontId="16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2057"/>
  <sheetViews>
    <sheetView topLeftCell="A16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37.8984375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5.89843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</row>
    <row r="3" spans="1:24" ht="21.75" customHeight="1" x14ac:dyDescent="0.35">
      <c r="A3" s="407" t="s">
        <v>42</v>
      </c>
      <c r="B3" s="412"/>
      <c r="C3" s="412"/>
      <c r="D3" s="413"/>
      <c r="E3" s="413"/>
      <c r="F3" s="413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4" s="134" customFormat="1" ht="18.75" customHeight="1" thickBot="1" x14ac:dyDescent="0.3">
      <c r="A4" s="414" t="s">
        <v>234</v>
      </c>
      <c r="B4" s="415"/>
      <c r="C4" s="415"/>
      <c r="D4" s="416"/>
      <c r="E4" s="416"/>
      <c r="F4" s="416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4" ht="42" customHeight="1" thickTop="1" thickBot="1" x14ac:dyDescent="0.45">
      <c r="A5" s="112" t="s">
        <v>1</v>
      </c>
      <c r="B5" s="993" t="s">
        <v>2</v>
      </c>
      <c r="C5" s="993"/>
      <c r="D5" s="88" t="s">
        <v>3</v>
      </c>
      <c r="E5" s="142" t="s">
        <v>183</v>
      </c>
      <c r="F5" s="143" t="s">
        <v>184</v>
      </c>
      <c r="G5" s="142" t="s">
        <v>185</v>
      </c>
      <c r="H5" s="144" t="s">
        <v>186</v>
      </c>
      <c r="I5" s="143" t="s">
        <v>187</v>
      </c>
      <c r="J5" s="143" t="s">
        <v>188</v>
      </c>
      <c r="K5" s="143" t="s">
        <v>189</v>
      </c>
      <c r="L5" s="144" t="s">
        <v>190</v>
      </c>
      <c r="M5" s="143" t="s">
        <v>191</v>
      </c>
      <c r="N5" s="143" t="s">
        <v>192</v>
      </c>
      <c r="O5" s="143" t="s">
        <v>193</v>
      </c>
      <c r="P5" s="144" t="s">
        <v>194</v>
      </c>
      <c r="Q5" s="143" t="s">
        <v>195</v>
      </c>
      <c r="R5" s="143" t="s">
        <v>196</v>
      </c>
      <c r="S5" s="143" t="s">
        <v>197</v>
      </c>
      <c r="T5" s="144" t="s">
        <v>198</v>
      </c>
      <c r="U5" s="138" t="s">
        <v>46</v>
      </c>
      <c r="V5" s="139" t="s">
        <v>58</v>
      </c>
      <c r="W5" s="233"/>
      <c r="X5" s="233"/>
    </row>
    <row r="6" spans="1:24" ht="44.25" customHeight="1" thickTop="1" thickBot="1" x14ac:dyDescent="0.4">
      <c r="A6" s="102"/>
      <c r="B6" s="993"/>
      <c r="C6" s="993"/>
      <c r="D6" s="89" t="s">
        <v>4</v>
      </c>
      <c r="E6" s="16"/>
      <c r="F6" s="54"/>
      <c r="G6" s="16"/>
      <c r="H6" s="136" t="s">
        <v>45</v>
      </c>
      <c r="I6" s="237"/>
      <c r="J6" s="237"/>
      <c r="K6" s="237"/>
      <c r="L6" s="238" t="s">
        <v>45</v>
      </c>
      <c r="M6" s="237"/>
      <c r="N6" s="237"/>
      <c r="O6" s="237"/>
      <c r="P6" s="238" t="s">
        <v>45</v>
      </c>
      <c r="Q6" s="237"/>
      <c r="R6" s="237"/>
      <c r="S6" s="237"/>
      <c r="T6" s="238" t="s">
        <v>45</v>
      </c>
      <c r="U6" s="140" t="s">
        <v>53</v>
      </c>
      <c r="V6" s="141" t="s">
        <v>53</v>
      </c>
      <c r="W6" s="233"/>
      <c r="X6" s="233"/>
    </row>
    <row r="7" spans="1:24" ht="30" customHeight="1" thickTop="1" thickBot="1" x14ac:dyDescent="0.3">
      <c r="A7" s="103" t="s">
        <v>5</v>
      </c>
      <c r="B7" s="994" t="s">
        <v>6</v>
      </c>
      <c r="C7" s="994"/>
      <c r="D7" s="90"/>
      <c r="E7" s="184">
        <v>22</v>
      </c>
      <c r="F7" s="185">
        <v>21</v>
      </c>
      <c r="G7" s="184">
        <v>20</v>
      </c>
      <c r="H7" s="186">
        <f>AVERAGE(E7:G7)</f>
        <v>21</v>
      </c>
      <c r="I7" s="185">
        <v>22</v>
      </c>
      <c r="J7" s="185">
        <v>20</v>
      </c>
      <c r="K7" s="185">
        <v>21</v>
      </c>
      <c r="L7" s="186">
        <f>AVERAGE(I7:K7)</f>
        <v>21</v>
      </c>
      <c r="M7" s="185">
        <v>23</v>
      </c>
      <c r="N7" s="185">
        <v>20</v>
      </c>
      <c r="O7" s="185">
        <v>22</v>
      </c>
      <c r="P7" s="186">
        <v>21.666666666666668</v>
      </c>
      <c r="Q7" s="281">
        <v>23</v>
      </c>
      <c r="R7" s="281">
        <v>19</v>
      </c>
      <c r="S7" s="281">
        <v>21</v>
      </c>
      <c r="T7" s="282">
        <v>21</v>
      </c>
      <c r="U7" s="359">
        <f>+E7+F7+G7+I7+J7+K7+M7+N7+O7+Q7+R7+S7</f>
        <v>254</v>
      </c>
      <c r="V7" s="360">
        <f>+U7/12</f>
        <v>21.166666666666668</v>
      </c>
      <c r="W7" s="233"/>
      <c r="X7" s="233"/>
    </row>
    <row r="8" spans="1:24" ht="30" customHeight="1" thickTop="1" thickBot="1" x14ac:dyDescent="0.3">
      <c r="A8" s="103" t="s">
        <v>7</v>
      </c>
      <c r="B8" s="994" t="s">
        <v>40</v>
      </c>
      <c r="C8" s="994"/>
      <c r="D8" s="90"/>
      <c r="E8" s="184">
        <v>53</v>
      </c>
      <c r="F8" s="185">
        <v>53</v>
      </c>
      <c r="G8" s="184">
        <v>53</v>
      </c>
      <c r="H8" s="186">
        <f>AVERAGE(E8:G8)</f>
        <v>53</v>
      </c>
      <c r="I8" s="185">
        <v>52</v>
      </c>
      <c r="J8" s="185">
        <v>52</v>
      </c>
      <c r="K8" s="185">
        <v>52</v>
      </c>
      <c r="L8" s="186">
        <f>AVERAGE(I8:K8)</f>
        <v>52</v>
      </c>
      <c r="M8" s="185">
        <v>52</v>
      </c>
      <c r="N8" s="185">
        <v>52</v>
      </c>
      <c r="O8" s="185">
        <v>53</v>
      </c>
      <c r="P8" s="186">
        <v>52.333333333333336</v>
      </c>
      <c r="Q8" s="281">
        <v>53</v>
      </c>
      <c r="R8" s="281">
        <v>53</v>
      </c>
      <c r="S8" s="281">
        <v>53</v>
      </c>
      <c r="T8" s="282">
        <v>53</v>
      </c>
      <c r="U8" s="359" t="s">
        <v>182</v>
      </c>
      <c r="V8" s="360">
        <f>AVERAGE(E8+F8+G8+I8+J8+M8+K8+N8+O8+Q8+R8+S8)/12</f>
        <v>52.583333333333336</v>
      </c>
      <c r="W8" s="233"/>
      <c r="X8" s="233"/>
    </row>
    <row r="9" spans="1:24" ht="44.25" customHeight="1" thickTop="1" x14ac:dyDescent="0.35">
      <c r="A9" s="104" t="s">
        <v>12</v>
      </c>
      <c r="B9" s="129" t="s">
        <v>27</v>
      </c>
      <c r="C9" s="30" t="s">
        <v>181</v>
      </c>
      <c r="D9" s="91" t="s">
        <v>9</v>
      </c>
      <c r="E9" s="187">
        <v>97442.5</v>
      </c>
      <c r="F9" s="188">
        <v>92807</v>
      </c>
      <c r="G9" s="187">
        <v>95576.9</v>
      </c>
      <c r="H9" s="189">
        <f>AVERAGE(E9:G9)</f>
        <v>95275.466666666674</v>
      </c>
      <c r="I9" s="188">
        <v>105557.5</v>
      </c>
      <c r="J9" s="188">
        <v>100374.3</v>
      </c>
      <c r="K9" s="188">
        <v>104623.5</v>
      </c>
      <c r="L9" s="189">
        <f>AVERAGE(I9:K9)</f>
        <v>103518.43333333333</v>
      </c>
      <c r="M9" s="188">
        <v>114222.8</v>
      </c>
      <c r="N9" s="188">
        <v>100752.53</v>
      </c>
      <c r="O9" s="188">
        <v>108148.15</v>
      </c>
      <c r="P9" s="189">
        <v>107707.82666666666</v>
      </c>
      <c r="Q9" s="285">
        <v>117334.9</v>
      </c>
      <c r="R9" s="285">
        <v>102643.2</v>
      </c>
      <c r="S9" s="285">
        <v>130791.9</v>
      </c>
      <c r="T9" s="286">
        <v>116923.3</v>
      </c>
      <c r="U9" s="362">
        <v>1270275.2040000001</v>
      </c>
      <c r="V9" s="363">
        <v>105856.26700000001</v>
      </c>
      <c r="W9" s="317"/>
      <c r="X9" s="233"/>
    </row>
    <row r="10" spans="1:24" ht="30" customHeight="1" x14ac:dyDescent="0.25">
      <c r="A10" s="105"/>
      <c r="B10" s="130" t="s">
        <v>28</v>
      </c>
      <c r="C10" s="21" t="s">
        <v>10</v>
      </c>
      <c r="D10" s="92"/>
      <c r="E10" s="465">
        <f>E9/E15</f>
        <v>0.39404156821608971</v>
      </c>
      <c r="F10" s="466">
        <f>F9/F15</f>
        <v>0.40319875851953801</v>
      </c>
      <c r="G10" s="465">
        <f>G9/G15</f>
        <v>0.39737478006060178</v>
      </c>
      <c r="H10" s="445">
        <f>SUM(E9:G9)/SUM(E15:G15)</f>
        <v>0.39809383868103554</v>
      </c>
      <c r="I10" s="450">
        <f>I9/I15</f>
        <v>0.39626899178011427</v>
      </c>
      <c r="J10" s="450">
        <f>J9/J15</f>
        <v>0.41295946818266538</v>
      </c>
      <c r="K10" s="450">
        <f>K9/K15</f>
        <v>0.4114782950690723</v>
      </c>
      <c r="L10" s="445">
        <f>SUM(I9:K9)/SUM(I15:K15)</f>
        <v>0.40664471394463125</v>
      </c>
      <c r="M10" s="450">
        <v>0.41423434165843437</v>
      </c>
      <c r="N10" s="450">
        <v>0.41486746357102189</v>
      </c>
      <c r="O10" s="450">
        <v>0.41344682040575975</v>
      </c>
      <c r="P10" s="445">
        <v>0.41416738147326149</v>
      </c>
      <c r="Q10" s="480">
        <v>0.40899999999999997</v>
      </c>
      <c r="R10" s="481">
        <v>0.41699999999999998</v>
      </c>
      <c r="S10" s="481">
        <v>0.44</v>
      </c>
      <c r="T10" s="482">
        <v>0.42199999999999999</v>
      </c>
      <c r="U10" s="483" t="s">
        <v>11</v>
      </c>
      <c r="V10" s="452">
        <v>0.41078940273184344</v>
      </c>
      <c r="W10" s="402"/>
      <c r="X10" s="402"/>
    </row>
    <row r="11" spans="1:24" ht="40.5" customHeight="1" x14ac:dyDescent="0.35">
      <c r="A11" s="105"/>
      <c r="B11" s="991" t="s">
        <v>29</v>
      </c>
      <c r="C11" s="24" t="s">
        <v>181</v>
      </c>
      <c r="D11" s="93" t="s">
        <v>9</v>
      </c>
      <c r="E11" s="194">
        <v>99063.8</v>
      </c>
      <c r="F11" s="195">
        <v>90128</v>
      </c>
      <c r="G11" s="194">
        <v>95720.3</v>
      </c>
      <c r="H11" s="196">
        <f>AVERAGE(E11:G11)</f>
        <v>94970.7</v>
      </c>
      <c r="I11" s="195">
        <v>103260.1</v>
      </c>
      <c r="J11" s="195">
        <v>90761.8</v>
      </c>
      <c r="K11" s="195">
        <v>97318.6</v>
      </c>
      <c r="L11" s="196">
        <f>AVERAGE(I11:K11)</f>
        <v>97113.5</v>
      </c>
      <c r="M11" s="195">
        <v>104462.9</v>
      </c>
      <c r="N11" s="195">
        <v>92944.63</v>
      </c>
      <c r="O11" s="195">
        <v>99860.2</v>
      </c>
      <c r="P11" s="196">
        <v>99089.243333333332</v>
      </c>
      <c r="Q11" s="289">
        <v>111521.5</v>
      </c>
      <c r="R11" s="289">
        <v>93248.2</v>
      </c>
      <c r="S11" s="289">
        <v>108387.9</v>
      </c>
      <c r="T11" s="290">
        <v>104385.9</v>
      </c>
      <c r="U11" s="366">
        <v>1186678.0170000002</v>
      </c>
      <c r="V11" s="367">
        <v>98889.83474999998</v>
      </c>
      <c r="W11" s="402"/>
      <c r="X11" s="233"/>
    </row>
    <row r="12" spans="1:24" ht="30" customHeight="1" x14ac:dyDescent="0.25">
      <c r="A12" s="105"/>
      <c r="B12" s="991"/>
      <c r="C12" s="22" t="s">
        <v>10</v>
      </c>
      <c r="D12" s="94"/>
      <c r="E12" s="458">
        <f>E11/E15</f>
        <v>0.40059784083377448</v>
      </c>
      <c r="F12" s="451">
        <f>F11/F15</f>
        <v>0.39155987918851942</v>
      </c>
      <c r="G12" s="458">
        <f>G11/G15</f>
        <v>0.39797098629307731</v>
      </c>
      <c r="H12" s="445">
        <f>SUM(E11:G11)/SUM(E15:G15)</f>
        <v>0.39682041818276775</v>
      </c>
      <c r="I12" s="451">
        <f>I11/I15</f>
        <v>0.38764441861652443</v>
      </c>
      <c r="J12" s="451">
        <f>J11/J15</f>
        <v>0.37341176635156048</v>
      </c>
      <c r="K12" s="451">
        <f>K11/K15</f>
        <v>0.38274853743670423</v>
      </c>
      <c r="L12" s="445">
        <f>SUM(I11:K11)/SUM(I15:K15)</f>
        <v>0.38148463182881065</v>
      </c>
      <c r="M12" s="451">
        <v>0.37883960653416709</v>
      </c>
      <c r="N12" s="451">
        <v>0.38271696899965796</v>
      </c>
      <c r="O12" s="451">
        <v>0.38176226015038867</v>
      </c>
      <c r="P12" s="445">
        <v>0.38102646496194115</v>
      </c>
      <c r="Q12" s="484">
        <v>0.42599999999999999</v>
      </c>
      <c r="R12" s="485">
        <v>0.35899999999999999</v>
      </c>
      <c r="S12" s="485">
        <v>0.378</v>
      </c>
      <c r="T12" s="486">
        <v>0.38700000000000001</v>
      </c>
      <c r="U12" s="460" t="s">
        <v>11</v>
      </c>
      <c r="V12" s="454">
        <v>0.3837552306015401</v>
      </c>
      <c r="W12" s="402"/>
      <c r="X12" s="233"/>
    </row>
    <row r="13" spans="1:24" ht="46.5" customHeight="1" x14ac:dyDescent="0.35">
      <c r="A13" s="105"/>
      <c r="B13" s="991" t="s">
        <v>30</v>
      </c>
      <c r="C13" s="23" t="s">
        <v>181</v>
      </c>
      <c r="D13" s="95" t="s">
        <v>9</v>
      </c>
      <c r="E13" s="200">
        <v>49658.400000000001</v>
      </c>
      <c r="F13" s="201">
        <v>46055.7</v>
      </c>
      <c r="G13" s="200">
        <v>48022.2</v>
      </c>
      <c r="H13" s="318">
        <f>AVERAGE(E13:G13)</f>
        <v>47912.1</v>
      </c>
      <c r="I13" s="201">
        <v>56423.9</v>
      </c>
      <c r="J13" s="201">
        <v>50796.2</v>
      </c>
      <c r="K13" s="201">
        <v>51106.7</v>
      </c>
      <c r="L13" s="196">
        <f>AVERAGE(I13:K13)</f>
        <v>52775.6</v>
      </c>
      <c r="M13" s="201">
        <v>55742.3</v>
      </c>
      <c r="N13" s="201">
        <v>47965.73</v>
      </c>
      <c r="O13" s="201">
        <v>52192.480000000003</v>
      </c>
      <c r="P13" s="196">
        <v>51966.83666666667</v>
      </c>
      <c r="Q13" s="293">
        <v>56867.4</v>
      </c>
      <c r="R13" s="293">
        <v>48895.199999999997</v>
      </c>
      <c r="S13" s="293">
        <v>56663.5</v>
      </c>
      <c r="T13" s="294">
        <v>54142</v>
      </c>
      <c r="U13" s="366">
        <v>620389.74599999993</v>
      </c>
      <c r="V13" s="370">
        <v>51699.145499999991</v>
      </c>
      <c r="W13" s="402"/>
      <c r="X13" s="233"/>
    </row>
    <row r="14" spans="1:24" ht="30" customHeight="1" thickBot="1" x14ac:dyDescent="0.3">
      <c r="A14" s="106"/>
      <c r="B14" s="992"/>
      <c r="C14" s="31" t="s">
        <v>10</v>
      </c>
      <c r="D14" s="96"/>
      <c r="E14" s="473">
        <f>E13/E15</f>
        <v>0.20081046577316747</v>
      </c>
      <c r="F14" s="449">
        <f>F13/F15</f>
        <v>0.20008836685539114</v>
      </c>
      <c r="G14" s="473">
        <f>G13/G15</f>
        <v>0.19965923945039263</v>
      </c>
      <c r="H14" s="445">
        <f>SUM(E13:G13)/SUM(E15:G15)</f>
        <v>0.20019331812879748</v>
      </c>
      <c r="I14" s="449">
        <f>I13/I15</f>
        <v>0.21181860090758109</v>
      </c>
      <c r="J14" s="449">
        <f>J13/J15</f>
        <v>0.20898548470774198</v>
      </c>
      <c r="K14" s="449">
        <f>K13/K15</f>
        <v>0.20099975419104271</v>
      </c>
      <c r="L14" s="445">
        <f>SUM(I13:K13)/SUM(I15:K15)</f>
        <v>0.20731494936898143</v>
      </c>
      <c r="M14" s="449">
        <v>0.20215206546352346</v>
      </c>
      <c r="N14" s="449">
        <v>0.19750790122523448</v>
      </c>
      <c r="O14" s="449">
        <v>0.19953013440443698</v>
      </c>
      <c r="P14" s="445">
        <v>0.1998273415384299</v>
      </c>
      <c r="Q14" s="487">
        <v>0.19800000000000001</v>
      </c>
      <c r="R14" s="488">
        <v>0.19900000000000001</v>
      </c>
      <c r="S14" s="488">
        <v>0.191</v>
      </c>
      <c r="T14" s="489">
        <v>0.19600000000000001</v>
      </c>
      <c r="U14" s="456" t="s">
        <v>11</v>
      </c>
      <c r="V14" s="457">
        <v>0.20062544905056653</v>
      </c>
      <c r="W14" s="233"/>
      <c r="X14" s="233"/>
    </row>
    <row r="15" spans="1:24" ht="30" customHeight="1" thickTop="1" x14ac:dyDescent="0.25">
      <c r="A15" s="104" t="s">
        <v>17</v>
      </c>
      <c r="B15" s="113" t="s">
        <v>13</v>
      </c>
      <c r="C15" s="114" t="s">
        <v>8</v>
      </c>
      <c r="D15" s="115" t="s">
        <v>9</v>
      </c>
      <c r="E15" s="206">
        <f>E17+E19</f>
        <v>247289.9</v>
      </c>
      <c r="F15" s="403">
        <f>F17+F19</f>
        <v>230176.80000000002</v>
      </c>
      <c r="G15" s="206">
        <f>G17+G19</f>
        <v>240520.80000000002</v>
      </c>
      <c r="H15" s="208">
        <f>AVERAGE(E15:G15)</f>
        <v>239329.16666666666</v>
      </c>
      <c r="I15" s="207">
        <f>I17+I19</f>
        <v>266378.40000000002</v>
      </c>
      <c r="J15" s="207">
        <f>J17+J19</f>
        <v>243060.9</v>
      </c>
      <c r="K15" s="207">
        <f>K17+K19</f>
        <v>254262.5</v>
      </c>
      <c r="L15" s="208">
        <f>AVERAGE(I15:K15)</f>
        <v>254567.26666666669</v>
      </c>
      <c r="M15" s="207">
        <v>275744.40000000002</v>
      </c>
      <c r="N15" s="207">
        <v>242854.74</v>
      </c>
      <c r="O15" s="207">
        <v>261576.93</v>
      </c>
      <c r="P15" s="208">
        <v>260058.69</v>
      </c>
      <c r="Q15" s="297">
        <v>287074.5</v>
      </c>
      <c r="R15" s="297">
        <v>246042.9</v>
      </c>
      <c r="S15" s="297">
        <v>297295.7</v>
      </c>
      <c r="T15" s="298">
        <v>276804.40000000002</v>
      </c>
      <c r="U15" s="373">
        <v>3092278.4169999994</v>
      </c>
      <c r="V15" s="374">
        <v>257689.86808333333</v>
      </c>
      <c r="W15" s="317"/>
      <c r="X15" s="233"/>
    </row>
    <row r="16" spans="1:24" ht="30" customHeight="1" x14ac:dyDescent="0.25">
      <c r="A16" s="105"/>
      <c r="B16" s="10" t="s">
        <v>14</v>
      </c>
      <c r="C16" s="12" t="s">
        <v>15</v>
      </c>
      <c r="D16" s="98" t="s">
        <v>9</v>
      </c>
      <c r="E16" s="209">
        <f>E15/E7</f>
        <v>11240.449999999999</v>
      </c>
      <c r="F16" s="404">
        <f>F15/F7</f>
        <v>10960.800000000001</v>
      </c>
      <c r="G16" s="209">
        <f>G15/G7</f>
        <v>12026.04</v>
      </c>
      <c r="H16" s="211">
        <f>SUM(E15:G15)/SUM(E7:G7)</f>
        <v>11396.626984126984</v>
      </c>
      <c r="I16" s="210">
        <f>I15/I7</f>
        <v>12108.109090909093</v>
      </c>
      <c r="J16" s="210">
        <f>J15/J7</f>
        <v>12153.045</v>
      </c>
      <c r="K16" s="210">
        <f>K15/K7</f>
        <v>12107.738095238095</v>
      </c>
      <c r="L16" s="211">
        <f>SUM(I15:K15)/SUM(I7:K7)</f>
        <v>12122.250793650794</v>
      </c>
      <c r="M16" s="210">
        <v>11988.886956521741</v>
      </c>
      <c r="N16" s="210">
        <v>12142.737000000001</v>
      </c>
      <c r="O16" s="210">
        <v>11889.860454545455</v>
      </c>
      <c r="P16" s="211">
        <v>12002.70876923077</v>
      </c>
      <c r="Q16" s="299">
        <v>13048.8</v>
      </c>
      <c r="R16" s="299">
        <v>12949.6</v>
      </c>
      <c r="S16" s="299">
        <v>14156.9</v>
      </c>
      <c r="T16" s="300">
        <v>13181.2</v>
      </c>
      <c r="U16" s="375" t="s">
        <v>11</v>
      </c>
      <c r="V16" s="376">
        <v>12174.324476377951</v>
      </c>
      <c r="W16" s="233"/>
      <c r="X16" s="233"/>
    </row>
    <row r="17" spans="1:24" s="27" customFormat="1" ht="40.5" customHeight="1" x14ac:dyDescent="0.35">
      <c r="A17" s="107"/>
      <c r="B17" s="15" t="s">
        <v>36</v>
      </c>
      <c r="C17" s="23" t="s">
        <v>8</v>
      </c>
      <c r="D17" s="95" t="s">
        <v>9</v>
      </c>
      <c r="E17" s="200">
        <f>E9+E11+E13</f>
        <v>246164.69999999998</v>
      </c>
      <c r="F17" s="405">
        <f>F9+F11+F13</f>
        <v>228990.7</v>
      </c>
      <c r="G17" s="200">
        <f>G9+G11+G13</f>
        <v>239319.40000000002</v>
      </c>
      <c r="H17" s="202">
        <f>AVERAGE(E17:G17)</f>
        <v>238158.26666666669</v>
      </c>
      <c r="I17" s="201">
        <v>265241.5</v>
      </c>
      <c r="J17" s="201">
        <v>241932.3</v>
      </c>
      <c r="K17" s="201">
        <v>253048.9</v>
      </c>
      <c r="L17" s="202">
        <f>AVERAGE(I17:K17)</f>
        <v>253407.56666666665</v>
      </c>
      <c r="M17" s="201">
        <v>274428</v>
      </c>
      <c r="N17" s="201">
        <v>241662.89</v>
      </c>
      <c r="O17" s="201">
        <v>260200.83</v>
      </c>
      <c r="P17" s="202">
        <v>258763.90666666665</v>
      </c>
      <c r="Q17" s="293">
        <v>285723.8</v>
      </c>
      <c r="R17" s="293">
        <v>244786.7</v>
      </c>
      <c r="S17" s="293">
        <v>295843.3</v>
      </c>
      <c r="T17" s="294">
        <v>275451.3</v>
      </c>
      <c r="U17" s="366">
        <v>3077342.9670000002</v>
      </c>
      <c r="V17" s="370">
        <v>256445.24725000001</v>
      </c>
      <c r="W17" s="234"/>
      <c r="X17" s="234"/>
    </row>
    <row r="18" spans="1:24" s="25" customFormat="1" ht="30" customHeight="1" x14ac:dyDescent="0.25">
      <c r="A18" s="108"/>
      <c r="B18" s="9" t="s">
        <v>32</v>
      </c>
      <c r="C18" s="26" t="s">
        <v>10</v>
      </c>
      <c r="D18" s="94"/>
      <c r="E18" s="458">
        <f>E17/E15</f>
        <v>0.9954498748230316</v>
      </c>
      <c r="F18" s="459">
        <f>F17/F15</f>
        <v>0.99484700456344854</v>
      </c>
      <c r="G18" s="458">
        <f>G17/G15</f>
        <v>0.99500500580407181</v>
      </c>
      <c r="H18" s="447">
        <f>SUM(E17:G17)/SUM(E15:G15)</f>
        <v>0.99510757499260094</v>
      </c>
      <c r="I18" s="451">
        <f>I17/I15</f>
        <v>0.99573201130421973</v>
      </c>
      <c r="J18" s="451">
        <f>J17/J15</f>
        <v>0.99535671924196778</v>
      </c>
      <c r="K18" s="451">
        <f>K17/K15</f>
        <v>0.99522697999115084</v>
      </c>
      <c r="L18" s="447">
        <f>SUM(I17:K17)/SUM(I15:K15)</f>
        <v>0.99544442608358386</v>
      </c>
      <c r="M18" s="451">
        <v>0.99522601365612495</v>
      </c>
      <c r="N18" s="451">
        <v>0.99509233379591433</v>
      </c>
      <c r="O18" s="451">
        <v>0.99473921496058537</v>
      </c>
      <c r="P18" s="447">
        <v>0.99501918747087492</v>
      </c>
      <c r="Q18" s="484">
        <f>+Q17/Q15</f>
        <v>0.99529494956884013</v>
      </c>
      <c r="R18" s="485">
        <f>+R17/R15</f>
        <v>0.99489438630417715</v>
      </c>
      <c r="S18" s="484">
        <f>+S17/S15</f>
        <v>0.99511462829768471</v>
      </c>
      <c r="T18" s="486">
        <f>+T17/T15</f>
        <v>0.99511171065199822</v>
      </c>
      <c r="U18" s="460" t="s">
        <v>11</v>
      </c>
      <c r="V18" s="454">
        <v>0.99517008238395011</v>
      </c>
      <c r="W18" s="235"/>
      <c r="X18" s="235"/>
    </row>
    <row r="19" spans="1:24" s="27" customFormat="1" ht="40.5" customHeight="1" x14ac:dyDescent="0.35">
      <c r="A19" s="107"/>
      <c r="B19" s="15" t="s">
        <v>36</v>
      </c>
      <c r="C19" s="23" t="s">
        <v>8</v>
      </c>
      <c r="D19" s="95" t="s">
        <v>9</v>
      </c>
      <c r="E19" s="200">
        <v>1125.2</v>
      </c>
      <c r="F19" s="405">
        <v>1186.0999999999999</v>
      </c>
      <c r="G19" s="200">
        <v>1201.4000000000001</v>
      </c>
      <c r="H19" s="202">
        <f>AVERAGE(E19:G19)</f>
        <v>1170.9000000000001</v>
      </c>
      <c r="I19" s="201">
        <v>1136.9000000000001</v>
      </c>
      <c r="J19" s="201">
        <v>1128.5999999999999</v>
      </c>
      <c r="K19" s="201">
        <v>1213.5999999999999</v>
      </c>
      <c r="L19" s="202">
        <f>AVERAGE(I19:K19)</f>
        <v>1159.7</v>
      </c>
      <c r="M19" s="201">
        <v>1316.4</v>
      </c>
      <c r="N19" s="201">
        <v>1191.8499999999999</v>
      </c>
      <c r="O19" s="201">
        <v>1376.1</v>
      </c>
      <c r="P19" s="202">
        <v>1294.7833333333333</v>
      </c>
      <c r="Q19" s="293">
        <v>1350.7</v>
      </c>
      <c r="R19" s="293">
        <v>1256.2</v>
      </c>
      <c r="S19" s="293">
        <v>1452.4</v>
      </c>
      <c r="T19" s="294">
        <v>1353.1</v>
      </c>
      <c r="U19" s="366">
        <v>14935.45</v>
      </c>
      <c r="V19" s="370">
        <v>1244.6208333333336</v>
      </c>
      <c r="W19" s="234"/>
      <c r="X19" s="234"/>
    </row>
    <row r="20" spans="1:24" s="25" customFormat="1" ht="30" customHeight="1" thickBot="1" x14ac:dyDescent="0.3">
      <c r="A20" s="109"/>
      <c r="B20" s="32" t="s">
        <v>31</v>
      </c>
      <c r="C20" s="33" t="s">
        <v>10</v>
      </c>
      <c r="D20" s="96"/>
      <c r="E20" s="473">
        <f>E19/E15</f>
        <v>4.550125176968409E-3</v>
      </c>
      <c r="F20" s="455">
        <f>F19/F15</f>
        <v>5.1529954365513806E-3</v>
      </c>
      <c r="G20" s="473">
        <f>G19/G15</f>
        <v>4.9949941959281695E-3</v>
      </c>
      <c r="H20" s="446">
        <f>SUM(E19:G19)/SUM(E15:G15)</f>
        <v>4.8924250073991539E-3</v>
      </c>
      <c r="I20" s="449">
        <f>I19/I15</f>
        <v>4.2679886957801387E-3</v>
      </c>
      <c r="J20" s="449">
        <f>J19/J15</f>
        <v>4.643280758032246E-3</v>
      </c>
      <c r="K20" s="449">
        <f>K19/K15</f>
        <v>4.7730200088491222E-3</v>
      </c>
      <c r="L20" s="446">
        <f>SUM(I19:K19)/SUM(I15:K15)</f>
        <v>4.5555739164160666E-3</v>
      </c>
      <c r="M20" s="449">
        <v>4.7739863438749797E-3</v>
      </c>
      <c r="N20" s="449">
        <v>4.9076662040856188E-3</v>
      </c>
      <c r="O20" s="449">
        <v>5.2607850394145996E-3</v>
      </c>
      <c r="P20" s="446">
        <v>4.9808125291250669E-3</v>
      </c>
      <c r="Q20" s="487">
        <f>+Q19/Q15</f>
        <v>4.7050504311598558E-3</v>
      </c>
      <c r="R20" s="488">
        <f>+R19/R15</f>
        <v>5.1056136958229645E-3</v>
      </c>
      <c r="S20" s="488">
        <f>+S19/S15</f>
        <v>4.8853717023152367E-3</v>
      </c>
      <c r="T20" s="489">
        <f>+T19/T15</f>
        <v>4.8882893480016931E-3</v>
      </c>
      <c r="U20" s="456" t="s">
        <v>11</v>
      </c>
      <c r="V20" s="457">
        <v>4.8299176160501601E-3</v>
      </c>
      <c r="W20" s="235"/>
      <c r="X20" s="235"/>
    </row>
    <row r="21" spans="1:24" ht="30" customHeight="1" thickTop="1" x14ac:dyDescent="0.25">
      <c r="A21" s="104" t="s">
        <v>24</v>
      </c>
      <c r="B21" s="113" t="s">
        <v>37</v>
      </c>
      <c r="C21" s="114" t="s">
        <v>19</v>
      </c>
      <c r="D21" s="115" t="s">
        <v>16</v>
      </c>
      <c r="E21" s="206">
        <f>E23+E25</f>
        <v>92145.5</v>
      </c>
      <c r="F21" s="403">
        <f>F23+F25</f>
        <v>91209.1</v>
      </c>
      <c r="G21" s="206">
        <f>G23+G25</f>
        <v>93892.200000000012</v>
      </c>
      <c r="H21" s="208">
        <f>AVERAGE(E21:G21)</f>
        <v>92415.60000000002</v>
      </c>
      <c r="I21" s="207">
        <f>I23+I25</f>
        <v>100774.8</v>
      </c>
      <c r="J21" s="207">
        <f>J23+J25</f>
        <v>92088.776000000013</v>
      </c>
      <c r="K21" s="207">
        <f>K23+K25</f>
        <v>95308.4</v>
      </c>
      <c r="L21" s="208">
        <f>AVERAGE(I21:K21)</f>
        <v>96057.325333333341</v>
      </c>
      <c r="M21" s="207">
        <v>101956.7</v>
      </c>
      <c r="N21" s="207">
        <v>89620.9</v>
      </c>
      <c r="O21" s="207">
        <v>97765</v>
      </c>
      <c r="P21" s="208">
        <v>96447.533333333326</v>
      </c>
      <c r="Q21" s="297">
        <v>104014.39999999999</v>
      </c>
      <c r="R21" s="297">
        <v>94769.9</v>
      </c>
      <c r="S21" s="297">
        <v>110995.3</v>
      </c>
      <c r="T21" s="298">
        <v>103259.9</v>
      </c>
      <c r="U21" s="373">
        <v>1164541.01</v>
      </c>
      <c r="V21" s="377">
        <v>97045.084166666667</v>
      </c>
      <c r="W21" s="233"/>
      <c r="X21" s="233"/>
    </row>
    <row r="22" spans="1:24" ht="30" customHeight="1" x14ac:dyDescent="0.25">
      <c r="A22" s="105"/>
      <c r="B22" s="10" t="s">
        <v>14</v>
      </c>
      <c r="C22" s="29" t="s">
        <v>38</v>
      </c>
      <c r="D22" s="99" t="s">
        <v>16</v>
      </c>
      <c r="E22" s="212">
        <f>E21/E7</f>
        <v>4188.431818181818</v>
      </c>
      <c r="F22" s="406">
        <f>F21/F7</f>
        <v>4343.2904761904765</v>
      </c>
      <c r="G22" s="212">
        <f>G21/G7</f>
        <v>4694.6100000000006</v>
      </c>
      <c r="H22" s="214">
        <f>SUM(E21:G21)/SUM(E7:G7)</f>
        <v>4400.7428571428582</v>
      </c>
      <c r="I22" s="213">
        <f>I21/I7</f>
        <v>4580.6727272727276</v>
      </c>
      <c r="J22" s="213">
        <f>J21/J7</f>
        <v>4604.4388000000008</v>
      </c>
      <c r="K22" s="213">
        <f>K21/K7</f>
        <v>4538.4952380952382</v>
      </c>
      <c r="L22" s="214">
        <f>SUM(I21:K21)/SUM(I7:K7)</f>
        <v>4574.1583492063492</v>
      </c>
      <c r="M22" s="213">
        <v>4432.8999999999996</v>
      </c>
      <c r="N22" s="213">
        <v>4481.0450000000001</v>
      </c>
      <c r="O22" s="213">
        <v>4443.863636363636</v>
      </c>
      <c r="P22" s="214">
        <v>4451.3999999999996</v>
      </c>
      <c r="Q22" s="301">
        <v>4522.3999999999996</v>
      </c>
      <c r="R22" s="301">
        <v>4987.8999999999996</v>
      </c>
      <c r="S22" s="301">
        <v>5285.5</v>
      </c>
      <c r="T22" s="302">
        <v>4917.1000000000004</v>
      </c>
      <c r="U22" s="378"/>
      <c r="V22" s="379">
        <v>4584.8071259842527</v>
      </c>
      <c r="W22" s="233"/>
      <c r="X22" s="233"/>
    </row>
    <row r="23" spans="1:24" s="27" customFormat="1" ht="42.75" customHeight="1" x14ac:dyDescent="0.35">
      <c r="A23" s="107"/>
      <c r="B23" s="15" t="s">
        <v>36</v>
      </c>
      <c r="C23" s="86" t="s">
        <v>19</v>
      </c>
      <c r="D23" s="95" t="s">
        <v>16</v>
      </c>
      <c r="E23" s="200">
        <v>90524.5</v>
      </c>
      <c r="F23" s="201">
        <v>89667.6</v>
      </c>
      <c r="G23" s="200">
        <v>92178.1</v>
      </c>
      <c r="H23" s="202">
        <f>AVERAGE(E23:G23)</f>
        <v>90790.066666666666</v>
      </c>
      <c r="I23" s="201">
        <v>99152.3</v>
      </c>
      <c r="J23" s="201">
        <v>90423.142000000007</v>
      </c>
      <c r="K23" s="201">
        <v>93641</v>
      </c>
      <c r="L23" s="202">
        <f>AVERAGE(I23:K23)</f>
        <v>94405.480666666685</v>
      </c>
      <c r="M23" s="201">
        <v>100169.8</v>
      </c>
      <c r="N23" s="201">
        <v>87984.6</v>
      </c>
      <c r="O23" s="201">
        <v>95986.8</v>
      </c>
      <c r="P23" s="202">
        <v>94713.733333333337</v>
      </c>
      <c r="Q23" s="293">
        <v>102191.3</v>
      </c>
      <c r="R23" s="293">
        <v>93105.1</v>
      </c>
      <c r="S23" s="293">
        <v>109122.8</v>
      </c>
      <c r="T23" s="294">
        <v>101473.1</v>
      </c>
      <c r="U23" s="366">
        <v>1144147.0060000001</v>
      </c>
      <c r="V23" s="370">
        <v>95345.583833333338</v>
      </c>
      <c r="W23" s="234"/>
      <c r="X23" s="234"/>
    </row>
    <row r="24" spans="1:24" s="25" customFormat="1" ht="30" customHeight="1" x14ac:dyDescent="0.25">
      <c r="A24" s="108"/>
      <c r="B24" s="9" t="s">
        <v>32</v>
      </c>
      <c r="C24" s="20" t="s">
        <v>21</v>
      </c>
      <c r="D24" s="94"/>
      <c r="E24" s="458">
        <f>E23/E21</f>
        <v>0.98240825650737151</v>
      </c>
      <c r="F24" s="451">
        <f>F23/F21</f>
        <v>0.98309927408559017</v>
      </c>
      <c r="G24" s="458">
        <f>G23/G21</f>
        <v>0.98174395743203369</v>
      </c>
      <c r="H24" s="447">
        <f>SUM(E23:G23)/SUM(E21:G21)</f>
        <v>0.98241061754364689</v>
      </c>
      <c r="I24" s="451">
        <f>I23/I21</f>
        <v>0.98389974477746422</v>
      </c>
      <c r="J24" s="451">
        <f>J23/J21</f>
        <v>0.98191273603202189</v>
      </c>
      <c r="K24" s="451">
        <f>K23/K21</f>
        <v>0.98250521465054508</v>
      </c>
      <c r="L24" s="447">
        <f>SUM(I23:K23)/SUM(I21:K21)</f>
        <v>0.9828035533892443</v>
      </c>
      <c r="M24" s="451">
        <v>0.9824739325615679</v>
      </c>
      <c r="N24" s="451">
        <v>0.98174198205998819</v>
      </c>
      <c r="O24" s="451">
        <v>0.98181148672837926</v>
      </c>
      <c r="P24" s="447">
        <v>0.98200913378331178</v>
      </c>
      <c r="Q24" s="484">
        <v>0.98199999999999998</v>
      </c>
      <c r="R24" s="485">
        <v>0.98199999999999998</v>
      </c>
      <c r="S24" s="484">
        <f>+S23/S21</f>
        <v>0.98312991631177171</v>
      </c>
      <c r="T24" s="486">
        <f>+T23/T21</f>
        <v>0.9826960901569729</v>
      </c>
      <c r="U24" s="461" t="s">
        <v>11</v>
      </c>
      <c r="V24" s="462">
        <v>0.98248751754994001</v>
      </c>
      <c r="W24" s="235"/>
      <c r="X24" s="236"/>
    </row>
    <row r="25" spans="1:24" s="27" customFormat="1" ht="37.5" customHeight="1" x14ac:dyDescent="0.35">
      <c r="A25" s="107"/>
      <c r="B25" s="15" t="s">
        <v>36</v>
      </c>
      <c r="C25" s="87" t="s">
        <v>19</v>
      </c>
      <c r="D25" s="95" t="s">
        <v>16</v>
      </c>
      <c r="E25" s="200">
        <v>1621</v>
      </c>
      <c r="F25" s="201">
        <v>1541.5</v>
      </c>
      <c r="G25" s="200">
        <v>1714.1</v>
      </c>
      <c r="H25" s="202">
        <f>AVERAGE(E25:G25)</f>
        <v>1625.5333333333335</v>
      </c>
      <c r="I25" s="201">
        <v>1622.5</v>
      </c>
      <c r="J25" s="201">
        <v>1665.634</v>
      </c>
      <c r="K25" s="201">
        <v>1667.4</v>
      </c>
      <c r="L25" s="202">
        <f>AVERAGE(I25:K25)</f>
        <v>1651.8446666666666</v>
      </c>
      <c r="M25" s="401">
        <v>1786.9</v>
      </c>
      <c r="N25" s="201">
        <v>1636.3</v>
      </c>
      <c r="O25" s="201">
        <v>1778.2</v>
      </c>
      <c r="P25" s="202">
        <v>1733.8</v>
      </c>
      <c r="Q25" s="293">
        <v>1823.2</v>
      </c>
      <c r="R25" s="293">
        <v>1664.8</v>
      </c>
      <c r="S25" s="293">
        <v>1872.5</v>
      </c>
      <c r="T25" s="294">
        <v>1786.8</v>
      </c>
      <c r="U25" s="366">
        <v>20394.003999999997</v>
      </c>
      <c r="V25" s="382">
        <v>1699.5003333333332</v>
      </c>
      <c r="W25" s="234"/>
      <c r="X25" s="234"/>
    </row>
    <row r="26" spans="1:24" s="25" customFormat="1" ht="30" customHeight="1" thickBot="1" x14ac:dyDescent="0.3">
      <c r="A26" s="109"/>
      <c r="B26" s="32" t="s">
        <v>31</v>
      </c>
      <c r="C26" s="33" t="s">
        <v>21</v>
      </c>
      <c r="D26" s="96"/>
      <c r="E26" s="473">
        <f>E25/E21</f>
        <v>1.7591743492628507E-2</v>
      </c>
      <c r="F26" s="449">
        <f>F25/F21</f>
        <v>1.6900725914409855E-2</v>
      </c>
      <c r="G26" s="473">
        <f>G25/G21</f>
        <v>1.825604256796624E-2</v>
      </c>
      <c r="H26" s="446">
        <f>SUM(E25:G25)/SUM(E21:G21)</f>
        <v>1.7589382456352966E-2</v>
      </c>
      <c r="I26" s="449">
        <f>I25/I21</f>
        <v>1.6100255222535793E-2</v>
      </c>
      <c r="J26" s="449">
        <f>J25/J21</f>
        <v>1.8087263967978027E-2</v>
      </c>
      <c r="K26" s="449">
        <f>K25/K21</f>
        <v>1.7494785349455033E-2</v>
      </c>
      <c r="L26" s="446">
        <f>SUM(I25:K25)/SUM(I21:K21)</f>
        <v>1.719644661075579E-2</v>
      </c>
      <c r="M26" s="449">
        <v>1.75260674384322E-2</v>
      </c>
      <c r="N26" s="449">
        <v>1.8258017940011757E-2</v>
      </c>
      <c r="O26" s="449">
        <v>1.8188513271620722E-2</v>
      </c>
      <c r="P26" s="446">
        <v>1.7990866216688228E-2</v>
      </c>
      <c r="Q26" s="487">
        <f>+Q25/Q21</f>
        <v>1.752834222953745E-2</v>
      </c>
      <c r="R26" s="488">
        <f>+R25/R21</f>
        <v>1.7566759065905949E-2</v>
      </c>
      <c r="S26" s="488">
        <f>+S25/S21</f>
        <v>1.6870083688228239E-2</v>
      </c>
      <c r="T26" s="489">
        <f>+T25/T21</f>
        <v>1.7303909843027158E-2</v>
      </c>
      <c r="U26" s="463" t="s">
        <v>11</v>
      </c>
      <c r="V26" s="464">
        <v>1.7512482450059867E-2</v>
      </c>
      <c r="W26" s="235"/>
      <c r="X26" s="235"/>
    </row>
    <row r="27" spans="1:24" ht="30" customHeight="1" thickTop="1" x14ac:dyDescent="0.25">
      <c r="A27" s="104" t="s">
        <v>33</v>
      </c>
      <c r="B27" s="113" t="s">
        <v>34</v>
      </c>
      <c r="C27" s="177" t="s">
        <v>18</v>
      </c>
      <c r="D27" s="97"/>
      <c r="E27" s="215">
        <v>1817</v>
      </c>
      <c r="F27" s="216">
        <v>1818</v>
      </c>
      <c r="G27" s="215">
        <v>1818</v>
      </c>
      <c r="H27" s="217">
        <v>1817.6666666666667</v>
      </c>
      <c r="I27" s="216">
        <v>1814</v>
      </c>
      <c r="J27" s="216">
        <v>1814</v>
      </c>
      <c r="K27" s="216">
        <v>1814</v>
      </c>
      <c r="L27" s="217">
        <v>1814</v>
      </c>
      <c r="M27" s="216">
        <v>1816</v>
      </c>
      <c r="N27" s="216">
        <v>1813</v>
      </c>
      <c r="O27" s="216">
        <v>1813</v>
      </c>
      <c r="P27" s="217">
        <v>1814</v>
      </c>
      <c r="Q27" s="303">
        <v>1811</v>
      </c>
      <c r="R27" s="303">
        <v>1813</v>
      </c>
      <c r="S27" s="303">
        <v>1817</v>
      </c>
      <c r="T27" s="304">
        <v>1814</v>
      </c>
      <c r="U27" s="385" t="s">
        <v>11</v>
      </c>
      <c r="V27" s="386">
        <v>1814.5833333333333</v>
      </c>
      <c r="W27" s="233"/>
      <c r="X27" s="233"/>
    </row>
    <row r="28" spans="1:24" ht="30" customHeight="1" x14ac:dyDescent="0.25">
      <c r="A28" s="110"/>
      <c r="B28" s="11"/>
      <c r="C28" s="119" t="s">
        <v>19</v>
      </c>
      <c r="D28" s="120" t="s">
        <v>16</v>
      </c>
      <c r="E28" s="218">
        <v>92145.5</v>
      </c>
      <c r="F28" s="219">
        <v>91209.1</v>
      </c>
      <c r="G28" s="218">
        <v>93892.2</v>
      </c>
      <c r="H28" s="220">
        <v>92415.6</v>
      </c>
      <c r="I28" s="219">
        <v>100774.8</v>
      </c>
      <c r="J28" s="219">
        <v>92088.776000000013</v>
      </c>
      <c r="K28" s="219">
        <v>95308.4</v>
      </c>
      <c r="L28" s="220">
        <v>96057.325333333341</v>
      </c>
      <c r="M28" s="219">
        <v>101956.7</v>
      </c>
      <c r="N28" s="219">
        <v>89620.9</v>
      </c>
      <c r="O28" s="219">
        <v>97765</v>
      </c>
      <c r="P28" s="220">
        <v>96447.533333333326</v>
      </c>
      <c r="Q28" s="305">
        <v>104014.39999999999</v>
      </c>
      <c r="R28" s="305">
        <v>94769.9</v>
      </c>
      <c r="S28" s="305">
        <v>110995.3</v>
      </c>
      <c r="T28" s="306">
        <v>103259.9</v>
      </c>
      <c r="U28" s="387">
        <v>1164541.01</v>
      </c>
      <c r="V28" s="388">
        <v>97045.084166666667</v>
      </c>
      <c r="W28" s="233"/>
      <c r="X28" s="233"/>
    </row>
    <row r="29" spans="1:24" ht="30" customHeight="1" x14ac:dyDescent="0.25">
      <c r="A29" s="110"/>
      <c r="B29" s="11"/>
      <c r="C29" s="2" t="s">
        <v>20</v>
      </c>
      <c r="D29" s="100" t="s">
        <v>16</v>
      </c>
      <c r="E29" s="221">
        <v>4188.431818181818</v>
      </c>
      <c r="F29" s="222">
        <v>4343.2904761904765</v>
      </c>
      <c r="G29" s="221">
        <v>4694.6099999999997</v>
      </c>
      <c r="H29" s="223">
        <v>4400.7428571428582</v>
      </c>
      <c r="I29" s="222">
        <v>4580.6727272727276</v>
      </c>
      <c r="J29" s="222">
        <v>4604.4388000000008</v>
      </c>
      <c r="K29" s="222">
        <v>4538.4952380952382</v>
      </c>
      <c r="L29" s="223">
        <v>4574.1583492063492</v>
      </c>
      <c r="M29" s="213">
        <v>4432.8999999999996</v>
      </c>
      <c r="N29" s="213">
        <v>4481.0450000000001</v>
      </c>
      <c r="O29" s="213">
        <v>4443.863636363636</v>
      </c>
      <c r="P29" s="223">
        <v>4451.4246153846152</v>
      </c>
      <c r="Q29" s="307">
        <v>4522.3999999999996</v>
      </c>
      <c r="R29" s="307">
        <v>4987.8999999999996</v>
      </c>
      <c r="S29" s="307">
        <v>5285.5</v>
      </c>
      <c r="T29" s="308">
        <v>4917.1000000000004</v>
      </c>
      <c r="U29" s="389" t="s">
        <v>25</v>
      </c>
      <c r="V29" s="390">
        <v>4584.8071259842527</v>
      </c>
      <c r="W29" s="233"/>
      <c r="X29" s="233"/>
    </row>
    <row r="30" spans="1:24" ht="30" customHeight="1" x14ac:dyDescent="0.25">
      <c r="A30" s="110"/>
      <c r="B30" s="11"/>
      <c r="C30" s="2" t="s">
        <v>22</v>
      </c>
      <c r="D30" s="100" t="s">
        <v>23</v>
      </c>
      <c r="E30" s="356">
        <v>2.6836893825525934</v>
      </c>
      <c r="F30" s="396">
        <v>2.523616612816046</v>
      </c>
      <c r="G30" s="356">
        <v>2.5616696594605299</v>
      </c>
      <c r="H30" s="358">
        <v>2.5896585516097228</v>
      </c>
      <c r="I30" s="357">
        <v>2.6433036830636234</v>
      </c>
      <c r="J30" s="357">
        <v>2.6394193794040652</v>
      </c>
      <c r="K30" s="357">
        <v>2.6677868897180104</v>
      </c>
      <c r="L30" s="358">
        <v>2.6501598476043347</v>
      </c>
      <c r="M30" s="357">
        <v>2.7045245677822058</v>
      </c>
      <c r="N30" s="357">
        <v>2.7098002809612489</v>
      </c>
      <c r="O30" s="357">
        <v>2.6755682503963585</v>
      </c>
      <c r="P30" s="358">
        <v>2.6963747128836202</v>
      </c>
      <c r="Q30" s="397">
        <v>2.76</v>
      </c>
      <c r="R30" s="397">
        <v>2.5960000000000001</v>
      </c>
      <c r="S30" s="397">
        <v>2.6779999999999999</v>
      </c>
      <c r="T30" s="398">
        <v>2.681</v>
      </c>
      <c r="U30" s="399" t="s">
        <v>11</v>
      </c>
      <c r="V30" s="400">
        <v>2.6553624049701767</v>
      </c>
      <c r="W30" s="233"/>
      <c r="X30" s="233"/>
    </row>
    <row r="31" spans="1:24" ht="30" customHeight="1" x14ac:dyDescent="0.25">
      <c r="A31" s="110"/>
      <c r="B31" s="11"/>
      <c r="C31" s="124" t="s">
        <v>26</v>
      </c>
      <c r="D31" s="125" t="s">
        <v>9</v>
      </c>
      <c r="E31" s="230">
        <v>247289.9</v>
      </c>
      <c r="F31" s="231">
        <v>230176.8</v>
      </c>
      <c r="G31" s="230">
        <v>240520.8</v>
      </c>
      <c r="H31" s="232">
        <v>239329.16666666666</v>
      </c>
      <c r="I31" s="231">
        <v>266378.40000000002</v>
      </c>
      <c r="J31" s="231">
        <v>243060.9</v>
      </c>
      <c r="K31" s="231">
        <v>254262.5</v>
      </c>
      <c r="L31" s="232">
        <v>254567.26666666669</v>
      </c>
      <c r="M31" s="231">
        <v>275744.40000000002</v>
      </c>
      <c r="N31" s="231">
        <v>242854.74</v>
      </c>
      <c r="O31" s="231">
        <v>261576.93</v>
      </c>
      <c r="P31" s="232">
        <v>260058.69</v>
      </c>
      <c r="Q31" s="315">
        <v>287074.5</v>
      </c>
      <c r="R31" s="315">
        <v>246042.9</v>
      </c>
      <c r="S31" s="315">
        <v>297295.7</v>
      </c>
      <c r="T31" s="316">
        <v>276804.40000000002</v>
      </c>
      <c r="U31" s="387">
        <v>3092278.4169999994</v>
      </c>
      <c r="V31" s="391">
        <v>257689.86808333333</v>
      </c>
      <c r="W31" s="233"/>
      <c r="X31" s="233"/>
    </row>
    <row r="32" spans="1:24" ht="33" customHeight="1" thickBot="1" x14ac:dyDescent="0.3">
      <c r="A32" s="111"/>
      <c r="B32" s="13"/>
      <c r="C32" s="341" t="s">
        <v>20</v>
      </c>
      <c r="D32" s="101" t="s">
        <v>9</v>
      </c>
      <c r="E32" s="342">
        <v>11240.45</v>
      </c>
      <c r="F32" s="343">
        <v>10960.8</v>
      </c>
      <c r="G32" s="342">
        <v>12026.04</v>
      </c>
      <c r="H32" s="344">
        <v>11396.626984126984</v>
      </c>
      <c r="I32" s="343">
        <v>12108.109090909093</v>
      </c>
      <c r="J32" s="343">
        <v>12153.045</v>
      </c>
      <c r="K32" s="343">
        <v>12107.738095238095</v>
      </c>
      <c r="L32" s="344">
        <v>12122.250793650794</v>
      </c>
      <c r="M32" s="343">
        <v>11988.886956521741</v>
      </c>
      <c r="N32" s="343">
        <v>12142.737000000001</v>
      </c>
      <c r="O32" s="343">
        <v>11889.860454545455</v>
      </c>
      <c r="P32" s="344">
        <v>12002.70876923077</v>
      </c>
      <c r="Q32" s="348">
        <v>12481.5</v>
      </c>
      <c r="R32" s="348">
        <v>12949.6</v>
      </c>
      <c r="S32" s="348">
        <v>14156.9</v>
      </c>
      <c r="T32" s="349">
        <v>13181.2</v>
      </c>
      <c r="U32" s="392" t="s">
        <v>11</v>
      </c>
      <c r="V32" s="393">
        <v>12174.324476377951</v>
      </c>
      <c r="W32" s="233"/>
      <c r="X32" s="233"/>
    </row>
    <row r="33" spans="1:24" s="135" customFormat="1" ht="30" customHeight="1" thickTop="1" x14ac:dyDescent="0.25">
      <c r="A33" s="325"/>
      <c r="B33" s="119"/>
      <c r="C33" s="2"/>
      <c r="D33" s="326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50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5">
    <mergeCell ref="B13:B14"/>
    <mergeCell ref="B5:C6"/>
    <mergeCell ref="B7:C7"/>
    <mergeCell ref="B8:C8"/>
    <mergeCell ref="B11:B12"/>
  </mergeCells>
  <phoneticPr fontId="16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2058"/>
  <sheetViews>
    <sheetView topLeftCell="B6" workbookViewId="0">
      <pane xSplit="3" ySplit="2" topLeftCell="E8" activePane="bottomRight" state="frozen"/>
      <selection activeCell="C34" sqref="C34"/>
      <selection pane="topRight" activeCell="C34" sqref="C34"/>
      <selection pane="bottomLeft" activeCell="C34" sqref="C34"/>
      <selection pane="bottomRight"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37.8984375" style="3" customWidth="1"/>
    <col min="4" max="4" width="8.69921875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5.89843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</row>
    <row r="3" spans="1:24" ht="39" customHeight="1" x14ac:dyDescent="0.4">
      <c r="A3" s="4" t="s">
        <v>42</v>
      </c>
      <c r="B3" s="4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4" s="134" customFormat="1" ht="18.75" customHeight="1" x14ac:dyDescent="0.25">
      <c r="A4" s="131" t="s">
        <v>44</v>
      </c>
      <c r="B4" s="1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4" ht="30.75" customHeight="1" thickBot="1" x14ac:dyDescent="0.45">
      <c r="A5" s="7" t="s">
        <v>164</v>
      </c>
      <c r="B5" s="4"/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4" ht="42" customHeight="1" thickTop="1" thickBot="1" x14ac:dyDescent="0.45">
      <c r="A6" s="112" t="s">
        <v>1</v>
      </c>
      <c r="B6" s="993" t="s">
        <v>2</v>
      </c>
      <c r="C6" s="993"/>
      <c r="D6" s="88" t="s">
        <v>3</v>
      </c>
      <c r="E6" s="142" t="s">
        <v>165</v>
      </c>
      <c r="F6" s="143" t="s">
        <v>166</v>
      </c>
      <c r="G6" s="142" t="s">
        <v>167</v>
      </c>
      <c r="H6" s="144" t="s">
        <v>168</v>
      </c>
      <c r="I6" s="143" t="s">
        <v>169</v>
      </c>
      <c r="J6" s="143" t="s">
        <v>170</v>
      </c>
      <c r="K6" s="143" t="s">
        <v>171</v>
      </c>
      <c r="L6" s="144" t="s">
        <v>172</v>
      </c>
      <c r="M6" s="143" t="s">
        <v>173</v>
      </c>
      <c r="N6" s="143" t="s">
        <v>174</v>
      </c>
      <c r="O6" s="143" t="s">
        <v>175</v>
      </c>
      <c r="P6" s="144" t="s">
        <v>176</v>
      </c>
      <c r="Q6" s="143" t="s">
        <v>177</v>
      </c>
      <c r="R6" s="143" t="s">
        <v>178</v>
      </c>
      <c r="S6" s="143" t="s">
        <v>179</v>
      </c>
      <c r="T6" s="144" t="s">
        <v>180</v>
      </c>
      <c r="U6" s="138" t="s">
        <v>46</v>
      </c>
      <c r="V6" s="139" t="s">
        <v>58</v>
      </c>
      <c r="W6" s="233"/>
      <c r="X6" s="233"/>
    </row>
    <row r="7" spans="1:24" ht="44.25" customHeight="1" thickTop="1" thickBot="1" x14ac:dyDescent="0.4">
      <c r="A7" s="102"/>
      <c r="B7" s="993"/>
      <c r="C7" s="993"/>
      <c r="D7" s="89" t="s">
        <v>4</v>
      </c>
      <c r="E7" s="16"/>
      <c r="F7" s="54"/>
      <c r="G7" s="16"/>
      <c r="H7" s="136" t="s">
        <v>45</v>
      </c>
      <c r="I7" s="237"/>
      <c r="J7" s="237"/>
      <c r="K7" s="237"/>
      <c r="L7" s="238" t="s">
        <v>45</v>
      </c>
      <c r="M7" s="237"/>
      <c r="N7" s="237"/>
      <c r="O7" s="237"/>
      <c r="P7" s="238" t="s">
        <v>45</v>
      </c>
      <c r="Q7" s="237"/>
      <c r="R7" s="237"/>
      <c r="S7" s="237"/>
      <c r="T7" s="238" t="s">
        <v>45</v>
      </c>
      <c r="U7" s="140" t="s">
        <v>53</v>
      </c>
      <c r="V7" s="141" t="s">
        <v>53</v>
      </c>
      <c r="W7" s="233"/>
      <c r="X7" s="233"/>
    </row>
    <row r="8" spans="1:24" ht="30" customHeight="1" thickTop="1" thickBot="1" x14ac:dyDescent="0.3">
      <c r="A8" s="103" t="s">
        <v>5</v>
      </c>
      <c r="B8" s="994" t="s">
        <v>6</v>
      </c>
      <c r="C8" s="994"/>
      <c r="D8" s="90"/>
      <c r="E8" s="184">
        <v>22</v>
      </c>
      <c r="F8" s="185">
        <v>20</v>
      </c>
      <c r="G8" s="184">
        <v>22</v>
      </c>
      <c r="H8" s="186">
        <v>21.333333333333332</v>
      </c>
      <c r="I8" s="185">
        <v>20</v>
      </c>
      <c r="J8" s="185">
        <v>21</v>
      </c>
      <c r="K8" s="185">
        <v>20</v>
      </c>
      <c r="L8" s="186">
        <v>20</v>
      </c>
      <c r="M8" s="185">
        <v>22</v>
      </c>
      <c r="N8" s="185">
        <v>22</v>
      </c>
      <c r="O8" s="185">
        <v>20</v>
      </c>
      <c r="P8" s="186">
        <v>21</v>
      </c>
      <c r="Q8" s="281">
        <v>23</v>
      </c>
      <c r="R8" s="281">
        <v>21</v>
      </c>
      <c r="S8" s="281">
        <v>19</v>
      </c>
      <c r="T8" s="282">
        <v>21</v>
      </c>
      <c r="U8" s="359">
        <f>+E8+F8+G8+I8+J8+K8+M8+N8+O8+Q8+R8+S8</f>
        <v>252</v>
      </c>
      <c r="V8" s="360">
        <f>+U8/12</f>
        <v>21</v>
      </c>
      <c r="W8" s="233"/>
      <c r="X8" s="233"/>
    </row>
    <row r="9" spans="1:24" ht="30" customHeight="1" thickTop="1" thickBot="1" x14ac:dyDescent="0.3">
      <c r="A9" s="103" t="s">
        <v>7</v>
      </c>
      <c r="B9" s="994" t="s">
        <v>40</v>
      </c>
      <c r="C9" s="994"/>
      <c r="D9" s="90"/>
      <c r="E9" s="184">
        <v>55</v>
      </c>
      <c r="F9" s="185">
        <v>55</v>
      </c>
      <c r="G9" s="184">
        <v>55</v>
      </c>
      <c r="H9" s="186">
        <v>55</v>
      </c>
      <c r="I9" s="185">
        <v>54</v>
      </c>
      <c r="J9" s="185">
        <v>54</v>
      </c>
      <c r="K9" s="185">
        <v>54</v>
      </c>
      <c r="L9" s="186">
        <v>54</v>
      </c>
      <c r="M9" s="185">
        <v>54</v>
      </c>
      <c r="N9" s="185">
        <v>54</v>
      </c>
      <c r="O9" s="185">
        <v>54</v>
      </c>
      <c r="P9" s="186">
        <v>54</v>
      </c>
      <c r="Q9" s="281">
        <v>54</v>
      </c>
      <c r="R9" s="281">
        <v>53</v>
      </c>
      <c r="S9" s="281">
        <v>53</v>
      </c>
      <c r="T9" s="282">
        <v>53</v>
      </c>
      <c r="U9" s="359" t="s">
        <v>182</v>
      </c>
      <c r="V9" s="360">
        <f>AVERAGE(E9+F9+G9+I9+J9+M9+K9+N9+O9+Q9+R9+S9)/12</f>
        <v>54.083333333333336</v>
      </c>
      <c r="W9" s="233"/>
      <c r="X9" s="233"/>
    </row>
    <row r="10" spans="1:24" ht="44.25" customHeight="1" thickTop="1" x14ac:dyDescent="0.35">
      <c r="A10" s="104" t="s">
        <v>12</v>
      </c>
      <c r="B10" s="129" t="s">
        <v>27</v>
      </c>
      <c r="C10" s="30" t="s">
        <v>181</v>
      </c>
      <c r="D10" s="91" t="s">
        <v>9</v>
      </c>
      <c r="E10" s="187">
        <v>93873.3</v>
      </c>
      <c r="F10" s="188">
        <v>81673.600000000006</v>
      </c>
      <c r="G10" s="187">
        <v>93146</v>
      </c>
      <c r="H10" s="189">
        <v>89564.3</v>
      </c>
      <c r="I10" s="188">
        <v>99850.2</v>
      </c>
      <c r="J10" s="188">
        <v>96292.3</v>
      </c>
      <c r="K10" s="188">
        <v>95816.8</v>
      </c>
      <c r="L10" s="189">
        <v>97319.766666666663</v>
      </c>
      <c r="M10" s="188">
        <v>101873.4</v>
      </c>
      <c r="N10" s="188">
        <v>101387.8</v>
      </c>
      <c r="O10" s="188">
        <v>93588.2</v>
      </c>
      <c r="P10" s="189">
        <v>98949.8</v>
      </c>
      <c r="Q10" s="285">
        <v>108892</v>
      </c>
      <c r="R10" s="285">
        <v>101148.1</v>
      </c>
      <c r="S10" s="285">
        <v>106621.6</v>
      </c>
      <c r="T10" s="286">
        <v>105553.9</v>
      </c>
      <c r="U10" s="362">
        <v>1174163.26</v>
      </c>
      <c r="V10" s="363">
        <v>97846.938333333354</v>
      </c>
      <c r="W10" s="317"/>
      <c r="X10" s="233"/>
    </row>
    <row r="11" spans="1:24" ht="30" customHeight="1" x14ac:dyDescent="0.25">
      <c r="A11" s="105"/>
      <c r="B11" s="130" t="s">
        <v>28</v>
      </c>
      <c r="C11" s="21" t="s">
        <v>10</v>
      </c>
      <c r="D11" s="92"/>
      <c r="E11" s="190">
        <v>0.40910047689668083</v>
      </c>
      <c r="F11" s="245">
        <v>0.41054037439109048</v>
      </c>
      <c r="G11" s="190">
        <v>0.41601756504712839</v>
      </c>
      <c r="H11" s="193">
        <v>0.41191386955399301</v>
      </c>
      <c r="I11" s="191">
        <v>0.42108126367140797</v>
      </c>
      <c r="J11" s="191">
        <v>0.41706517695069356</v>
      </c>
      <c r="K11" s="191">
        <v>0.41691943596078512</v>
      </c>
      <c r="L11" s="193">
        <v>0.41838187741221095</v>
      </c>
      <c r="M11" s="191">
        <v>0.4136706963055124</v>
      </c>
      <c r="N11" s="191">
        <v>0.42020074252686257</v>
      </c>
      <c r="O11" s="191">
        <v>0.41792872345081172</v>
      </c>
      <c r="P11" s="193">
        <v>0.41722539282303411</v>
      </c>
      <c r="Q11" s="287">
        <v>0.41299999999999998</v>
      </c>
      <c r="R11" s="345">
        <v>0.40799999999999997</v>
      </c>
      <c r="S11" s="345">
        <v>0.41399999999999998</v>
      </c>
      <c r="T11" s="288">
        <v>0.41299999999999998</v>
      </c>
      <c r="U11" s="364" t="s">
        <v>11</v>
      </c>
      <c r="V11" s="365">
        <v>0.41660000000000003</v>
      </c>
      <c r="W11" s="402"/>
      <c r="X11" s="402"/>
    </row>
    <row r="12" spans="1:24" ht="40.5" customHeight="1" x14ac:dyDescent="0.35">
      <c r="A12" s="105"/>
      <c r="B12" s="991" t="s">
        <v>29</v>
      </c>
      <c r="C12" s="24" t="s">
        <v>181</v>
      </c>
      <c r="D12" s="93" t="s">
        <v>9</v>
      </c>
      <c r="E12" s="194">
        <v>91137.5</v>
      </c>
      <c r="F12" s="195">
        <v>78425.399999999994</v>
      </c>
      <c r="G12" s="194">
        <v>85611.7</v>
      </c>
      <c r="H12" s="196">
        <v>85058.2</v>
      </c>
      <c r="I12" s="195">
        <v>90806.1</v>
      </c>
      <c r="J12" s="195">
        <v>89180.5</v>
      </c>
      <c r="K12" s="195">
        <v>87571.1</v>
      </c>
      <c r="L12" s="196">
        <v>89185.9</v>
      </c>
      <c r="M12" s="195">
        <v>94374</v>
      </c>
      <c r="N12" s="195">
        <v>92261.7</v>
      </c>
      <c r="O12" s="195">
        <v>85669.8</v>
      </c>
      <c r="P12" s="196">
        <v>90768.5</v>
      </c>
      <c r="Q12" s="289">
        <v>101907.3</v>
      </c>
      <c r="R12" s="289">
        <v>96064.1</v>
      </c>
      <c r="S12" s="289">
        <v>98958.74</v>
      </c>
      <c r="T12" s="290">
        <v>98976.713333333333</v>
      </c>
      <c r="U12" s="366">
        <v>1091967.94</v>
      </c>
      <c r="V12" s="367">
        <v>90997.328333333324</v>
      </c>
      <c r="W12" s="402"/>
      <c r="X12" s="233"/>
    </row>
    <row r="13" spans="1:24" ht="30" customHeight="1" x14ac:dyDescent="0.25">
      <c r="A13" s="105"/>
      <c r="B13" s="991"/>
      <c r="C13" s="22" t="s">
        <v>10</v>
      </c>
      <c r="D13" s="94"/>
      <c r="E13" s="197">
        <v>0.39717784197605976</v>
      </c>
      <c r="F13" s="198">
        <v>0.3942129779729438</v>
      </c>
      <c r="G13" s="197">
        <v>0.38236715450524167</v>
      </c>
      <c r="H13" s="193">
        <v>0.39118993057833806</v>
      </c>
      <c r="I13" s="198">
        <v>0.38294111916723494</v>
      </c>
      <c r="J13" s="198">
        <v>0.38626225578837903</v>
      </c>
      <c r="K13" s="198">
        <v>0.38104062772358827</v>
      </c>
      <c r="L13" s="193">
        <v>0.3834140335385553</v>
      </c>
      <c r="M13" s="198">
        <v>0.38321836998800896</v>
      </c>
      <c r="N13" s="198">
        <v>0.38237771060019682</v>
      </c>
      <c r="O13" s="198">
        <v>0.38256821001244123</v>
      </c>
      <c r="P13" s="193">
        <v>0.38272864693468372</v>
      </c>
      <c r="Q13" s="291">
        <v>0.38605373755833011</v>
      </c>
      <c r="R13" s="346">
        <v>0.38727232193429556</v>
      </c>
      <c r="S13" s="346">
        <v>0.38452126764629657</v>
      </c>
      <c r="T13" s="292">
        <v>0.38769999999999999</v>
      </c>
      <c r="U13" s="368" t="s">
        <v>11</v>
      </c>
      <c r="V13" s="369">
        <v>0.38750000000000001</v>
      </c>
      <c r="W13" s="402"/>
      <c r="X13" s="233"/>
    </row>
    <row r="14" spans="1:24" ht="46.5" customHeight="1" x14ac:dyDescent="0.35">
      <c r="A14" s="105"/>
      <c r="B14" s="991" t="s">
        <v>30</v>
      </c>
      <c r="C14" s="23" t="s">
        <v>181</v>
      </c>
      <c r="D14" s="95" t="s">
        <v>9</v>
      </c>
      <c r="E14" s="200">
        <v>43505.5</v>
      </c>
      <c r="F14" s="201">
        <v>37938</v>
      </c>
      <c r="G14" s="200">
        <v>44147.8</v>
      </c>
      <c r="H14" s="318">
        <v>41863.76666666667</v>
      </c>
      <c r="I14" s="201">
        <v>45424.2</v>
      </c>
      <c r="J14" s="201">
        <v>44300.800000000003</v>
      </c>
      <c r="K14" s="201">
        <v>45389.599999999999</v>
      </c>
      <c r="L14" s="202">
        <v>45038.2</v>
      </c>
      <c r="M14" s="201">
        <v>48882.400000000001</v>
      </c>
      <c r="N14" s="201">
        <v>46499.7</v>
      </c>
      <c r="O14" s="201">
        <v>43627.3</v>
      </c>
      <c r="P14" s="196">
        <v>46336.466666666674</v>
      </c>
      <c r="Q14" s="293">
        <v>51958.7</v>
      </c>
      <c r="R14" s="293">
        <v>49726.6</v>
      </c>
      <c r="S14" s="293">
        <v>50604.9</v>
      </c>
      <c r="T14" s="294">
        <v>50763.4</v>
      </c>
      <c r="U14" s="366">
        <v>552005.5</v>
      </c>
      <c r="V14" s="370">
        <v>46000.458333333336</v>
      </c>
      <c r="W14" s="402"/>
      <c r="X14" s="233"/>
    </row>
    <row r="15" spans="1:24" ht="30" customHeight="1" thickBot="1" x14ac:dyDescent="0.3">
      <c r="A15" s="106"/>
      <c r="B15" s="992"/>
      <c r="C15" s="31" t="s">
        <v>10</v>
      </c>
      <c r="D15" s="96"/>
      <c r="E15" s="203">
        <v>0.18959726352038916</v>
      </c>
      <c r="F15" s="204">
        <v>0.19069908420406581</v>
      </c>
      <c r="G15" s="203">
        <v>0.19717712256229591</v>
      </c>
      <c r="H15" s="193">
        <v>0.1925350404320933</v>
      </c>
      <c r="I15" s="204">
        <v>0.19155975188094534</v>
      </c>
      <c r="J15" s="204">
        <v>0.19187745012900603</v>
      </c>
      <c r="K15" s="204">
        <v>0.19749987925380155</v>
      </c>
      <c r="L15" s="193">
        <v>0.19362116573714189</v>
      </c>
      <c r="M15" s="204">
        <v>0.19849358561788044</v>
      </c>
      <c r="N15" s="204">
        <v>0.1927175505068297</v>
      </c>
      <c r="O15" s="204">
        <v>0.19482265709358232</v>
      </c>
      <c r="P15" s="193">
        <v>0.19537937931184732</v>
      </c>
      <c r="Q15" s="295">
        <v>0.1968342830559931</v>
      </c>
      <c r="R15" s="347">
        <v>0.20046756117944103</v>
      </c>
      <c r="S15" s="347">
        <v>0.19663407493985949</v>
      </c>
      <c r="T15" s="296">
        <v>0.1988</v>
      </c>
      <c r="U15" s="371" t="s">
        <v>11</v>
      </c>
      <c r="V15" s="372">
        <v>0.19589999999999999</v>
      </c>
      <c r="W15" s="233"/>
      <c r="X15" s="233"/>
    </row>
    <row r="16" spans="1:24" ht="30" customHeight="1" thickTop="1" x14ac:dyDescent="0.25">
      <c r="A16" s="104" t="s">
        <v>17</v>
      </c>
      <c r="B16" s="113" t="s">
        <v>13</v>
      </c>
      <c r="C16" s="114" t="s">
        <v>8</v>
      </c>
      <c r="D16" s="115" t="s">
        <v>9</v>
      </c>
      <c r="E16" s="206">
        <v>229462.7</v>
      </c>
      <c r="F16" s="207">
        <v>198941.7</v>
      </c>
      <c r="G16" s="206">
        <v>223899.2</v>
      </c>
      <c r="H16" s="208">
        <v>217434.53333333333</v>
      </c>
      <c r="I16" s="207">
        <v>237128.1</v>
      </c>
      <c r="J16" s="207">
        <v>230880.7</v>
      </c>
      <c r="K16" s="207">
        <v>229820.9</v>
      </c>
      <c r="L16" s="208">
        <v>232609.9</v>
      </c>
      <c r="M16" s="207">
        <v>246266.9</v>
      </c>
      <c r="N16" s="207">
        <v>241284.2</v>
      </c>
      <c r="O16" s="207">
        <v>223933.4</v>
      </c>
      <c r="P16" s="208">
        <v>237161.5</v>
      </c>
      <c r="Q16" s="297">
        <v>263971.8</v>
      </c>
      <c r="R16" s="297">
        <v>248053.1</v>
      </c>
      <c r="S16" s="297">
        <v>257355.7</v>
      </c>
      <c r="T16" s="298">
        <v>256460.2</v>
      </c>
      <c r="U16" s="373">
        <v>2830998.4</v>
      </c>
      <c r="V16" s="374">
        <v>235916.53333333333</v>
      </c>
      <c r="W16" s="317"/>
      <c r="X16" s="233"/>
    </row>
    <row r="17" spans="1:24" ht="30" customHeight="1" x14ac:dyDescent="0.25">
      <c r="A17" s="105"/>
      <c r="B17" s="10" t="s">
        <v>14</v>
      </c>
      <c r="C17" s="12" t="s">
        <v>15</v>
      </c>
      <c r="D17" s="98" t="s">
        <v>9</v>
      </c>
      <c r="E17" s="209">
        <v>10430.122727272726</v>
      </c>
      <c r="F17" s="210">
        <v>9947.0850000000009</v>
      </c>
      <c r="G17" s="209">
        <v>10177.236363636363</v>
      </c>
      <c r="H17" s="211">
        <v>10192.24375</v>
      </c>
      <c r="I17" s="210">
        <v>11856.405000000001</v>
      </c>
      <c r="J17" s="210">
        <v>10994.319047619048</v>
      </c>
      <c r="K17" s="210">
        <v>11491.045</v>
      </c>
      <c r="L17" s="211">
        <v>11439.831147540985</v>
      </c>
      <c r="M17" s="210">
        <v>11193.95</v>
      </c>
      <c r="N17" s="210">
        <v>10967.463636363636</v>
      </c>
      <c r="O17" s="210">
        <v>11196.67</v>
      </c>
      <c r="P17" s="211">
        <v>11116.9453125</v>
      </c>
      <c r="Q17" s="299">
        <v>11477.034782608695</v>
      </c>
      <c r="R17" s="299">
        <v>11812.05238095238</v>
      </c>
      <c r="S17" s="299">
        <v>13545.036842105264</v>
      </c>
      <c r="T17" s="300">
        <v>12212.390476190476</v>
      </c>
      <c r="U17" s="375" t="s">
        <v>11</v>
      </c>
      <c r="V17" s="376">
        <v>11234.120634920637</v>
      </c>
      <c r="W17" s="233"/>
      <c r="X17" s="233"/>
    </row>
    <row r="18" spans="1:24" s="27" customFormat="1" ht="40.5" customHeight="1" x14ac:dyDescent="0.35">
      <c r="A18" s="107"/>
      <c r="B18" s="15" t="s">
        <v>36</v>
      </c>
      <c r="C18" s="23" t="s">
        <v>8</v>
      </c>
      <c r="D18" s="95" t="s">
        <v>9</v>
      </c>
      <c r="E18" s="200">
        <v>228516.3</v>
      </c>
      <c r="F18" s="195">
        <v>198037</v>
      </c>
      <c r="G18" s="200">
        <v>222905.5</v>
      </c>
      <c r="H18" s="202">
        <v>216486.26666666669</v>
      </c>
      <c r="I18" s="201">
        <v>236080.5</v>
      </c>
      <c r="J18" s="201">
        <v>229773.6</v>
      </c>
      <c r="K18" s="201">
        <v>228777.5</v>
      </c>
      <c r="L18" s="202">
        <v>231543.86666666667</v>
      </c>
      <c r="M18" s="201">
        <v>245129.8</v>
      </c>
      <c r="N18" s="201">
        <v>240149.3</v>
      </c>
      <c r="O18" s="201">
        <v>222885.3</v>
      </c>
      <c r="P18" s="202">
        <v>236054.8</v>
      </c>
      <c r="Q18" s="293">
        <v>262758</v>
      </c>
      <c r="R18" s="293">
        <v>246938.8</v>
      </c>
      <c r="S18" s="293">
        <v>256185.2</v>
      </c>
      <c r="T18" s="294">
        <v>255294</v>
      </c>
      <c r="U18" s="366">
        <v>2818136.8</v>
      </c>
      <c r="V18" s="370">
        <v>234844.73333333337</v>
      </c>
      <c r="W18" s="234"/>
      <c r="X18" s="234"/>
    </row>
    <row r="19" spans="1:24" s="25" customFormat="1" ht="30" customHeight="1" x14ac:dyDescent="0.25">
      <c r="A19" s="108"/>
      <c r="B19" s="9" t="s">
        <v>32</v>
      </c>
      <c r="C19" s="26" t="s">
        <v>10</v>
      </c>
      <c r="D19" s="94"/>
      <c r="E19" s="197">
        <v>0.99587558239312968</v>
      </c>
      <c r="F19" s="198">
        <v>0.99545243656810001</v>
      </c>
      <c r="G19" s="197">
        <v>0.99556184211466592</v>
      </c>
      <c r="H19" s="199">
        <v>0.99563884056442442</v>
      </c>
      <c r="I19" s="198">
        <v>0.99558213471958823</v>
      </c>
      <c r="J19" s="198">
        <v>0.99520488286807862</v>
      </c>
      <c r="K19" s="198">
        <v>0.99545994293817497</v>
      </c>
      <c r="L19" s="199">
        <v>0.99541707668790813</v>
      </c>
      <c r="M19" s="198">
        <v>0.99538265191140174</v>
      </c>
      <c r="N19" s="198">
        <v>0.99529641808290803</v>
      </c>
      <c r="O19" s="198">
        <v>0.99531959055683517</v>
      </c>
      <c r="P19" s="199">
        <v>0.99533288685038157</v>
      </c>
      <c r="Q19" s="291">
        <v>0.99540178155393877</v>
      </c>
      <c r="R19" s="346">
        <v>0.99550781667312371</v>
      </c>
      <c r="S19" s="291">
        <v>0.99545182018505907</v>
      </c>
      <c r="T19" s="292">
        <v>0.99545380613737378</v>
      </c>
      <c r="U19" s="368" t="s">
        <v>11</v>
      </c>
      <c r="V19" s="369">
        <v>0.99545686779618081</v>
      </c>
      <c r="W19" s="235"/>
      <c r="X19" s="235"/>
    </row>
    <row r="20" spans="1:24" s="27" customFormat="1" ht="40.5" customHeight="1" x14ac:dyDescent="0.35">
      <c r="A20" s="107"/>
      <c r="B20" s="15" t="s">
        <v>36</v>
      </c>
      <c r="C20" s="23" t="s">
        <v>8</v>
      </c>
      <c r="D20" s="95" t="s">
        <v>9</v>
      </c>
      <c r="E20" s="200">
        <v>946.3</v>
      </c>
      <c r="F20" s="201">
        <v>904.7</v>
      </c>
      <c r="G20" s="200">
        <v>993.8</v>
      </c>
      <c r="H20" s="202">
        <v>948.26666666666677</v>
      </c>
      <c r="I20" s="201">
        <v>1047.5999999999999</v>
      </c>
      <c r="J20" s="201">
        <v>1107.2</v>
      </c>
      <c r="K20" s="201">
        <v>1043.4000000000001</v>
      </c>
      <c r="L20" s="202">
        <v>1066.0666666666668</v>
      </c>
      <c r="M20" s="201">
        <v>1137.0999999999999</v>
      </c>
      <c r="N20" s="201">
        <v>1134.9000000000001</v>
      </c>
      <c r="O20" s="201">
        <v>1048.0999999999999</v>
      </c>
      <c r="P20" s="202">
        <v>1106.7</v>
      </c>
      <c r="Q20" s="293">
        <v>1213.8</v>
      </c>
      <c r="R20" s="293">
        <v>1114.3</v>
      </c>
      <c r="S20" s="293">
        <v>1170.5</v>
      </c>
      <c r="T20" s="294">
        <v>1166.2</v>
      </c>
      <c r="U20" s="366">
        <v>12861.7</v>
      </c>
      <c r="V20" s="370">
        <v>1071.8083333333332</v>
      </c>
      <c r="W20" s="234"/>
      <c r="X20" s="234"/>
    </row>
    <row r="21" spans="1:24" s="25" customFormat="1" ht="30" customHeight="1" thickBot="1" x14ac:dyDescent="0.3">
      <c r="A21" s="109"/>
      <c r="B21" s="32" t="s">
        <v>31</v>
      </c>
      <c r="C21" s="33" t="s">
        <v>10</v>
      </c>
      <c r="D21" s="96"/>
      <c r="E21" s="203">
        <v>4.1239818061933374E-3</v>
      </c>
      <c r="F21" s="204">
        <v>4.5475634318998979E-3</v>
      </c>
      <c r="G21" s="203">
        <v>4.438604514888843E-3</v>
      </c>
      <c r="H21" s="205">
        <v>4.3611594355757047E-3</v>
      </c>
      <c r="I21" s="204">
        <v>4.4178652804117259E-3</v>
      </c>
      <c r="J21" s="204">
        <v>4.7955502560413235E-3</v>
      </c>
      <c r="K21" s="204">
        <v>4.5400570618250998E-3</v>
      </c>
      <c r="L21" s="205">
        <v>4.5830666135304931E-3</v>
      </c>
      <c r="M21" s="204">
        <v>4.6173480885981829E-3</v>
      </c>
      <c r="N21" s="204">
        <v>4.7035819170919615E-3</v>
      </c>
      <c r="O21" s="204">
        <v>4.6804094431647982E-3</v>
      </c>
      <c r="P21" s="205">
        <v>4.6671131496183139E-3</v>
      </c>
      <c r="Q21" s="295">
        <v>4.5982184460612837E-3</v>
      </c>
      <c r="R21" s="347">
        <v>4.492183326876383E-3</v>
      </c>
      <c r="S21" s="347">
        <v>4.5481798149409553E-3</v>
      </c>
      <c r="T21" s="296">
        <v>4.546193862626207E-3</v>
      </c>
      <c r="U21" s="371" t="s">
        <v>11</v>
      </c>
      <c r="V21" s="372">
        <v>4.5431675270462884E-3</v>
      </c>
      <c r="W21" s="235"/>
      <c r="X21" s="235"/>
    </row>
    <row r="22" spans="1:24" ht="30" customHeight="1" thickTop="1" x14ac:dyDescent="0.25">
      <c r="A22" s="104" t="s">
        <v>24</v>
      </c>
      <c r="B22" s="113" t="s">
        <v>37</v>
      </c>
      <c r="C22" s="114" t="s">
        <v>19</v>
      </c>
      <c r="D22" s="115" t="s">
        <v>16</v>
      </c>
      <c r="E22" s="206">
        <v>86615.6</v>
      </c>
      <c r="F22" s="207">
        <v>80960.3</v>
      </c>
      <c r="G22" s="206">
        <v>88232</v>
      </c>
      <c r="H22" s="208">
        <v>85269.3</v>
      </c>
      <c r="I22" s="207">
        <v>89314.2</v>
      </c>
      <c r="J22" s="207">
        <v>86631.7</v>
      </c>
      <c r="K22" s="207">
        <v>85137.1</v>
      </c>
      <c r="L22" s="208">
        <v>87027.666666666672</v>
      </c>
      <c r="M22" s="207">
        <v>90131.763999999996</v>
      </c>
      <c r="N22" s="207">
        <v>86368.89499999999</v>
      </c>
      <c r="O22" s="207">
        <v>82253.167000000001</v>
      </c>
      <c r="P22" s="208">
        <v>86251.275333333338</v>
      </c>
      <c r="Q22" s="297">
        <v>96943.3</v>
      </c>
      <c r="R22" s="297">
        <v>90574.2</v>
      </c>
      <c r="S22" s="297">
        <v>92815.9</v>
      </c>
      <c r="T22" s="298">
        <v>93444.466666666674</v>
      </c>
      <c r="U22" s="373">
        <v>1055978.1259999999</v>
      </c>
      <c r="V22" s="377">
        <v>87998.177166666661</v>
      </c>
      <c r="W22" s="233"/>
      <c r="X22" s="233"/>
    </row>
    <row r="23" spans="1:24" ht="30" customHeight="1" x14ac:dyDescent="0.25">
      <c r="A23" s="105"/>
      <c r="B23" s="10" t="s">
        <v>14</v>
      </c>
      <c r="C23" s="29" t="s">
        <v>38</v>
      </c>
      <c r="D23" s="99" t="s">
        <v>16</v>
      </c>
      <c r="E23" s="212">
        <v>3937.0727272727277</v>
      </c>
      <c r="F23" s="213">
        <v>4048.0150000000003</v>
      </c>
      <c r="G23" s="212">
        <v>4010.5454545454545</v>
      </c>
      <c r="H23" s="214">
        <v>3996.9984375000004</v>
      </c>
      <c r="I23" s="213">
        <v>4465.71</v>
      </c>
      <c r="J23" s="213">
        <v>4125.3190476190475</v>
      </c>
      <c r="K23" s="213">
        <v>4256.8549999999996</v>
      </c>
      <c r="L23" s="214">
        <v>4280.0491803278692</v>
      </c>
      <c r="M23" s="213">
        <v>4096.8983636363637</v>
      </c>
      <c r="N23" s="213">
        <v>3925.8588636363634</v>
      </c>
      <c r="O23" s="213">
        <v>4112.6583499999997</v>
      </c>
      <c r="P23" s="214">
        <f>+Q22/64</f>
        <v>1514.7390625</v>
      </c>
      <c r="Q23" s="301">
        <v>4214.9260869565214</v>
      </c>
      <c r="R23" s="301">
        <v>4313.0571428571429</v>
      </c>
      <c r="S23" s="301">
        <v>4885.0473684210529</v>
      </c>
      <c r="T23" s="302">
        <v>4449.7365079365081</v>
      </c>
      <c r="U23" s="378"/>
      <c r="V23" s="379">
        <v>4190.3893888888888</v>
      </c>
      <c r="W23" s="233"/>
      <c r="X23" s="233"/>
    </row>
    <row r="24" spans="1:24" s="27" customFormat="1" ht="42.75" customHeight="1" x14ac:dyDescent="0.35">
      <c r="A24" s="107"/>
      <c r="B24" s="15" t="s">
        <v>36</v>
      </c>
      <c r="C24" s="86" t="s">
        <v>19</v>
      </c>
      <c r="D24" s="95" t="s">
        <v>16</v>
      </c>
      <c r="E24" s="200">
        <v>85157.6</v>
      </c>
      <c r="F24" s="201">
        <v>79610</v>
      </c>
      <c r="G24" s="200">
        <v>86792.2</v>
      </c>
      <c r="H24" s="202">
        <v>83853.266666666663</v>
      </c>
      <c r="I24" s="201">
        <v>87795.8</v>
      </c>
      <c r="J24" s="201">
        <v>85095.9</v>
      </c>
      <c r="K24" s="201">
        <v>83702.899999999994</v>
      </c>
      <c r="L24" s="202">
        <v>85531.53333333334</v>
      </c>
      <c r="M24" s="201">
        <v>88521.54</v>
      </c>
      <c r="N24" s="201">
        <v>84826.846999999994</v>
      </c>
      <c r="O24" s="201">
        <v>80785.767000000007</v>
      </c>
      <c r="P24" s="202">
        <v>84711.384666666665</v>
      </c>
      <c r="Q24" s="293">
        <v>95286.8</v>
      </c>
      <c r="R24" s="293">
        <v>89010.5</v>
      </c>
      <c r="S24" s="293">
        <v>91162.8</v>
      </c>
      <c r="T24" s="294">
        <v>91820.033333333326</v>
      </c>
      <c r="U24" s="366">
        <v>1037748.654</v>
      </c>
      <c r="V24" s="370">
        <v>86479.054499999998</v>
      </c>
      <c r="W24" s="234"/>
      <c r="X24" s="234"/>
    </row>
    <row r="25" spans="1:24" s="25" customFormat="1" ht="30" customHeight="1" x14ac:dyDescent="0.25">
      <c r="A25" s="108"/>
      <c r="B25" s="9" t="s">
        <v>32</v>
      </c>
      <c r="C25" s="20" t="s">
        <v>21</v>
      </c>
      <c r="D25" s="94"/>
      <c r="E25" s="197">
        <v>0.98316700455807038</v>
      </c>
      <c r="F25" s="198">
        <v>0.98332145508354096</v>
      </c>
      <c r="G25" s="197">
        <v>0.98368165744854474</v>
      </c>
      <c r="H25" s="199">
        <v>0.98339339793649827</v>
      </c>
      <c r="I25" s="198">
        <v>0.98299934388932564</v>
      </c>
      <c r="J25" s="198">
        <v>0.98227207823464158</v>
      </c>
      <c r="K25" s="198">
        <v>0.98315423005951585</v>
      </c>
      <c r="L25" s="199">
        <v>0.98280853215261055</v>
      </c>
      <c r="M25" s="198">
        <v>0.98213477770167679</v>
      </c>
      <c r="N25" s="198">
        <v>0.982145794501597</v>
      </c>
      <c r="O25" s="198">
        <v>0.98215995743969353</v>
      </c>
      <c r="P25" s="199">
        <v>0.98214684321432244</v>
      </c>
      <c r="Q25" s="291">
        <v>0.98291269226444733</v>
      </c>
      <c r="R25" s="346">
        <v>0.98273570177821057</v>
      </c>
      <c r="S25" s="291">
        <v>0.98218947400176038</v>
      </c>
      <c r="T25" s="292">
        <v>0.98261262268147276</v>
      </c>
      <c r="U25" s="380" t="s">
        <v>11</v>
      </c>
      <c r="V25" s="381">
        <v>0.98273688483581345</v>
      </c>
      <c r="W25" s="235"/>
      <c r="X25" s="236"/>
    </row>
    <row r="26" spans="1:24" s="27" customFormat="1" ht="37.5" customHeight="1" x14ac:dyDescent="0.35">
      <c r="A26" s="107"/>
      <c r="B26" s="15" t="s">
        <v>36</v>
      </c>
      <c r="C26" s="87" t="s">
        <v>19</v>
      </c>
      <c r="D26" s="95" t="s">
        <v>16</v>
      </c>
      <c r="E26" s="200">
        <v>1458</v>
      </c>
      <c r="F26" s="201">
        <v>1350.3</v>
      </c>
      <c r="G26" s="200">
        <v>1439.8</v>
      </c>
      <c r="H26" s="202">
        <v>1416.0333333333335</v>
      </c>
      <c r="I26" s="201">
        <v>1518.4</v>
      </c>
      <c r="J26" s="201">
        <v>1535.7</v>
      </c>
      <c r="K26" s="201">
        <v>1434.2</v>
      </c>
      <c r="L26" s="202">
        <v>1496.1</v>
      </c>
      <c r="M26" s="401">
        <v>1610.2239999999999</v>
      </c>
      <c r="N26" s="201">
        <v>1542.048</v>
      </c>
      <c r="O26" s="201">
        <v>1467.4</v>
      </c>
      <c r="P26" s="202">
        <v>1539.8906666666669</v>
      </c>
      <c r="Q26" s="293">
        <v>1656.5</v>
      </c>
      <c r="R26" s="293">
        <v>1563.7</v>
      </c>
      <c r="S26" s="293">
        <v>1653.1</v>
      </c>
      <c r="T26" s="294">
        <v>1624.4333333333332</v>
      </c>
      <c r="U26" s="366">
        <v>18229.371999999999</v>
      </c>
      <c r="V26" s="382">
        <v>1519.1143333333332</v>
      </c>
      <c r="W26" s="234"/>
      <c r="X26" s="234"/>
    </row>
    <row r="27" spans="1:24" s="25" customFormat="1" ht="30" customHeight="1" thickBot="1" x14ac:dyDescent="0.3">
      <c r="A27" s="109"/>
      <c r="B27" s="32" t="s">
        <v>31</v>
      </c>
      <c r="C27" s="33" t="s">
        <v>21</v>
      </c>
      <c r="D27" s="96"/>
      <c r="E27" s="203">
        <v>1.6832995441929628E-2</v>
      </c>
      <c r="F27" s="204">
        <v>1.6678544916459054E-2</v>
      </c>
      <c r="G27" s="203">
        <v>1.6318342551455253E-2</v>
      </c>
      <c r="H27" s="205">
        <v>1.6606602063501556E-2</v>
      </c>
      <c r="I27" s="204">
        <v>1.7000656110674452E-2</v>
      </c>
      <c r="J27" s="204">
        <v>1.7726767453484119E-2</v>
      </c>
      <c r="K27" s="204">
        <v>1.6845769940484232E-2</v>
      </c>
      <c r="L27" s="205">
        <v>1.7191084827430359E-2</v>
      </c>
      <c r="M27" s="204">
        <v>1.7865222298323154E-2</v>
      </c>
      <c r="N27" s="204">
        <v>1.7854205498403102E-2</v>
      </c>
      <c r="O27" s="204">
        <v>1.7840042560306524E-2</v>
      </c>
      <c r="P27" s="205">
        <v>1.7853156785677591E-2</v>
      </c>
      <c r="Q27" s="295">
        <v>1.7087307735552636E-2</v>
      </c>
      <c r="R27" s="347">
        <v>1.7264298221789428E-2</v>
      </c>
      <c r="S27" s="347">
        <v>1.7810525998239523E-2</v>
      </c>
      <c r="T27" s="296">
        <v>1.7387377318527197E-2</v>
      </c>
      <c r="U27" s="383" t="s">
        <v>11</v>
      </c>
      <c r="V27" s="384">
        <v>1.7263020465255359E-2</v>
      </c>
      <c r="W27" s="235"/>
      <c r="X27" s="235"/>
    </row>
    <row r="28" spans="1:24" ht="30" customHeight="1" thickTop="1" x14ac:dyDescent="0.25">
      <c r="A28" s="104" t="s">
        <v>33</v>
      </c>
      <c r="B28" s="113" t="s">
        <v>34</v>
      </c>
      <c r="C28" s="177" t="s">
        <v>18</v>
      </c>
      <c r="D28" s="97"/>
      <c r="E28" s="215">
        <v>1518</v>
      </c>
      <c r="F28" s="216">
        <v>1518</v>
      </c>
      <c r="G28" s="215">
        <v>1518</v>
      </c>
      <c r="H28" s="217">
        <v>1518</v>
      </c>
      <c r="I28" s="216">
        <v>1094</v>
      </c>
      <c r="J28" s="216">
        <v>1084</v>
      </c>
      <c r="K28" s="216">
        <v>1076</v>
      </c>
      <c r="L28" s="217">
        <v>1084.6666666666667</v>
      </c>
      <c r="M28" s="216">
        <v>1523</v>
      </c>
      <c r="N28" s="216">
        <v>1527</v>
      </c>
      <c r="O28" s="216">
        <v>1527</v>
      </c>
      <c r="P28" s="217">
        <v>1525.6666666666667</v>
      </c>
      <c r="Q28" s="303">
        <v>1527</v>
      </c>
      <c r="R28" s="303">
        <v>1527</v>
      </c>
      <c r="S28" s="303">
        <v>1815</v>
      </c>
      <c r="T28" s="304">
        <v>1623</v>
      </c>
      <c r="U28" s="385" t="s">
        <v>11</v>
      </c>
      <c r="V28" s="386">
        <v>1546.0833333333333</v>
      </c>
      <c r="W28" s="233"/>
      <c r="X28" s="233"/>
    </row>
    <row r="29" spans="1:24" ht="30" customHeight="1" x14ac:dyDescent="0.25">
      <c r="A29" s="110"/>
      <c r="B29" s="11"/>
      <c r="C29" s="119" t="s">
        <v>19</v>
      </c>
      <c r="D29" s="120" t="s">
        <v>16</v>
      </c>
      <c r="E29" s="218">
        <v>86615.6</v>
      </c>
      <c r="F29" s="219">
        <v>80960.3</v>
      </c>
      <c r="G29" s="218">
        <v>88232</v>
      </c>
      <c r="H29" s="220">
        <v>85269.3</v>
      </c>
      <c r="I29" s="219">
        <v>89314.2</v>
      </c>
      <c r="J29" s="219">
        <v>86631.7</v>
      </c>
      <c r="K29" s="219">
        <v>85137.1</v>
      </c>
      <c r="L29" s="220">
        <v>87027.666666666672</v>
      </c>
      <c r="M29" s="219">
        <v>90131.763999999996</v>
      </c>
      <c r="N29" s="219">
        <v>86368.89499999999</v>
      </c>
      <c r="O29" s="219">
        <v>82253.167000000001</v>
      </c>
      <c r="P29" s="220">
        <v>86251.275333333338</v>
      </c>
      <c r="Q29" s="305">
        <v>96943.3</v>
      </c>
      <c r="R29" s="305">
        <v>90574.2</v>
      </c>
      <c r="S29" s="305">
        <v>92815.9</v>
      </c>
      <c r="T29" s="306">
        <v>93444.466666666674</v>
      </c>
      <c r="U29" s="387">
        <v>1055978.1259999999</v>
      </c>
      <c r="V29" s="388">
        <v>87998.177166666661</v>
      </c>
      <c r="W29" s="233"/>
      <c r="X29" s="233"/>
    </row>
    <row r="30" spans="1:24" ht="30" customHeight="1" x14ac:dyDescent="0.25">
      <c r="A30" s="110"/>
      <c r="B30" s="11"/>
      <c r="C30" s="2" t="s">
        <v>20</v>
      </c>
      <c r="D30" s="100" t="s">
        <v>16</v>
      </c>
      <c r="E30" s="221">
        <v>3937.0727272727277</v>
      </c>
      <c r="F30" s="222">
        <v>4048.0150000000003</v>
      </c>
      <c r="G30" s="221">
        <v>4010.5454545454545</v>
      </c>
      <c r="H30" s="223">
        <v>3996.9984375000004</v>
      </c>
      <c r="I30" s="213">
        <v>4465.71</v>
      </c>
      <c r="J30" s="213">
        <v>4125.3190476190475</v>
      </c>
      <c r="K30" s="213">
        <v>4256.8549999999996</v>
      </c>
      <c r="L30" s="214">
        <v>4280.0491803278692</v>
      </c>
      <c r="M30" s="213">
        <v>4096.8983636363637</v>
      </c>
      <c r="N30" s="213">
        <v>3925.8588636363634</v>
      </c>
      <c r="O30" s="213">
        <v>4112.6583499999997</v>
      </c>
      <c r="P30" s="223">
        <v>4043.02853125</v>
      </c>
      <c r="Q30" s="307">
        <v>4214.9260869565214</v>
      </c>
      <c r="R30" s="307">
        <v>4313.0571428571429</v>
      </c>
      <c r="S30" s="307">
        <v>4885.0473684210529</v>
      </c>
      <c r="T30" s="308">
        <v>4449.7365079365081</v>
      </c>
      <c r="U30" s="389" t="s">
        <v>25</v>
      </c>
      <c r="V30" s="390">
        <v>4190.3893888888888</v>
      </c>
      <c r="W30" s="233"/>
      <c r="X30" s="233"/>
    </row>
    <row r="31" spans="1:24" ht="30" customHeight="1" x14ac:dyDescent="0.25">
      <c r="A31" s="110"/>
      <c r="B31" s="11"/>
      <c r="C31" s="2" t="s">
        <v>22</v>
      </c>
      <c r="D31" s="100" t="s">
        <v>23</v>
      </c>
      <c r="E31" s="356">
        <v>2.6492075330540916</v>
      </c>
      <c r="F31" s="396">
        <v>2.457274738359418</v>
      </c>
      <c r="G31" s="356">
        <v>2.5376190044428322</v>
      </c>
      <c r="H31" s="358">
        <v>2.5480337586187809</v>
      </c>
      <c r="I31" s="357">
        <v>2.6549876727328914</v>
      </c>
      <c r="J31" s="357">
        <v>2.6650833355457646</v>
      </c>
      <c r="K31" s="357">
        <v>2.6994212863722162</v>
      </c>
      <c r="L31" s="358">
        <v>2.6728270320166385</v>
      </c>
      <c r="M31" s="357">
        <v>2.7322986821826767</v>
      </c>
      <c r="N31" s="357">
        <v>2.7936469489391986</v>
      </c>
      <c r="O31" s="357">
        <v>2.7224897006093394</v>
      </c>
      <c r="P31" s="358">
        <v>2.7496578929812618</v>
      </c>
      <c r="Q31" s="397">
        <v>2.7229504256611854</v>
      </c>
      <c r="R31" s="397">
        <v>2.7386728229451651</v>
      </c>
      <c r="S31" s="397">
        <v>2.7727544526314993</v>
      </c>
      <c r="T31" s="398">
        <v>2.7445199180689848</v>
      </c>
      <c r="U31" s="399" t="s">
        <v>11</v>
      </c>
      <c r="V31" s="400">
        <v>2.6809252296955255</v>
      </c>
      <c r="W31" s="233"/>
      <c r="X31" s="233"/>
    </row>
    <row r="32" spans="1:24" ht="30" customHeight="1" x14ac:dyDescent="0.25">
      <c r="A32" s="110"/>
      <c r="B32" s="11"/>
      <c r="C32" s="124" t="s">
        <v>26</v>
      </c>
      <c r="D32" s="125" t="s">
        <v>9</v>
      </c>
      <c r="E32" s="230">
        <v>229462.7</v>
      </c>
      <c r="F32" s="231">
        <v>198941.7</v>
      </c>
      <c r="G32" s="230">
        <v>223899.2</v>
      </c>
      <c r="H32" s="232">
        <v>217434.53333333333</v>
      </c>
      <c r="I32" s="231">
        <v>237128.1</v>
      </c>
      <c r="J32" s="231">
        <v>230880.7</v>
      </c>
      <c r="K32" s="231">
        <v>229820.9</v>
      </c>
      <c r="L32" s="232">
        <v>232609.9</v>
      </c>
      <c r="M32" s="231">
        <v>246266.9</v>
      </c>
      <c r="N32" s="231">
        <v>241284.2</v>
      </c>
      <c r="O32" s="231">
        <v>223933.4</v>
      </c>
      <c r="P32" s="232">
        <v>237161.5</v>
      </c>
      <c r="Q32" s="315">
        <v>263971.8</v>
      </c>
      <c r="R32" s="315">
        <v>248053.1</v>
      </c>
      <c r="S32" s="315">
        <v>257355.7</v>
      </c>
      <c r="T32" s="316">
        <v>256460.2</v>
      </c>
      <c r="U32" s="387">
        <v>2830998.4</v>
      </c>
      <c r="V32" s="391">
        <v>235916.53333333333</v>
      </c>
      <c r="W32" s="233"/>
      <c r="X32" s="233"/>
    </row>
    <row r="33" spans="1:24" ht="33" customHeight="1" thickBot="1" x14ac:dyDescent="0.3">
      <c r="A33" s="111"/>
      <c r="B33" s="13"/>
      <c r="C33" s="341" t="s">
        <v>20</v>
      </c>
      <c r="D33" s="101" t="s">
        <v>9</v>
      </c>
      <c r="E33" s="342">
        <v>10430.122727272726</v>
      </c>
      <c r="F33" s="343">
        <v>9947.0850000000009</v>
      </c>
      <c r="G33" s="342">
        <v>10177.236363636363</v>
      </c>
      <c r="H33" s="344">
        <v>10192.24375</v>
      </c>
      <c r="I33" s="343">
        <v>11856.405000000001</v>
      </c>
      <c r="J33" s="343">
        <v>10994.319047619048</v>
      </c>
      <c r="K33" s="343">
        <v>11491.045</v>
      </c>
      <c r="L33" s="344">
        <v>11439.831147540985</v>
      </c>
      <c r="M33" s="343">
        <v>11193.95</v>
      </c>
      <c r="N33" s="343">
        <v>10967.463636363636</v>
      </c>
      <c r="O33" s="343">
        <v>11196.67</v>
      </c>
      <c r="P33" s="344">
        <v>11116.9453125</v>
      </c>
      <c r="Q33" s="348">
        <v>11477.034782608695</v>
      </c>
      <c r="R33" s="348">
        <v>11812.05238095238</v>
      </c>
      <c r="S33" s="348">
        <v>13545.036842105264</v>
      </c>
      <c r="T33" s="349">
        <v>12212.390476190476</v>
      </c>
      <c r="U33" s="392" t="s">
        <v>11</v>
      </c>
      <c r="V33" s="393">
        <v>11234.120634920637</v>
      </c>
      <c r="W33" s="233"/>
      <c r="X33" s="233"/>
    </row>
    <row r="34" spans="1:24" s="135" customFormat="1" ht="30" customHeight="1" thickTop="1" x14ac:dyDescent="0.25">
      <c r="A34" s="325"/>
      <c r="B34" s="119"/>
      <c r="C34" s="2"/>
      <c r="D34" s="326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50"/>
      <c r="R34" s="350"/>
      <c r="S34" s="350"/>
      <c r="T34" s="350"/>
      <c r="U34" s="328"/>
      <c r="V34" s="329"/>
      <c r="W34" s="330"/>
      <c r="X34" s="330"/>
    </row>
    <row r="35" spans="1:24" s="135" customFormat="1" ht="30" customHeight="1" x14ac:dyDescent="0.25">
      <c r="A35" s="325"/>
      <c r="B35" s="331"/>
      <c r="C35" s="119"/>
      <c r="D35" s="332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1"/>
      <c r="R35" s="351"/>
      <c r="S35" s="351"/>
      <c r="T35" s="351"/>
      <c r="U35" s="334"/>
      <c r="V35" s="334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2"/>
      <c r="R36" s="352"/>
      <c r="S36" s="352"/>
      <c r="T36" s="352"/>
      <c r="U36" s="335"/>
      <c r="V36" s="336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53"/>
      <c r="R37" s="354"/>
      <c r="S37" s="354"/>
      <c r="T37" s="353"/>
      <c r="U37" s="335"/>
      <c r="V37" s="337"/>
      <c r="W37" s="330"/>
      <c r="X37" s="330"/>
    </row>
    <row r="38" spans="1:24" s="135" customFormat="1" ht="30" customHeight="1" x14ac:dyDescent="0.25">
      <c r="A38" s="325"/>
      <c r="B38" s="331"/>
      <c r="C38" s="2"/>
      <c r="D38" s="326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5"/>
      <c r="R38" s="352"/>
      <c r="S38" s="352"/>
      <c r="T38" s="355"/>
      <c r="U38" s="335"/>
      <c r="V38" s="336"/>
      <c r="W38" s="330"/>
      <c r="X38" s="330"/>
    </row>
    <row r="39" spans="1:24" s="135" customFormat="1" ht="30" customHeight="1" x14ac:dyDescent="0.25">
      <c r="A39" s="325"/>
      <c r="B39" s="331"/>
      <c r="C39" s="119"/>
      <c r="D39" s="332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1"/>
      <c r="R39" s="351"/>
      <c r="S39" s="351"/>
      <c r="T39" s="351"/>
      <c r="U39" s="334"/>
      <c r="V39" s="334"/>
      <c r="W39" s="330"/>
      <c r="X39" s="330"/>
    </row>
    <row r="40" spans="1:24" s="135" customFormat="1" ht="30" customHeight="1" x14ac:dyDescent="0.25">
      <c r="A40" s="325"/>
      <c r="B40" s="331"/>
      <c r="C40" s="2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2"/>
      <c r="R40" s="352"/>
      <c r="S40" s="352"/>
      <c r="T40" s="352"/>
      <c r="U40" s="335"/>
      <c r="V40" s="336"/>
      <c r="W40" s="330"/>
      <c r="X40" s="330"/>
    </row>
    <row r="41" spans="1:24" s="135" customFormat="1" ht="30" customHeight="1" x14ac:dyDescent="0.25">
      <c r="A41" s="325"/>
      <c r="B41" s="331"/>
      <c r="C41" s="338"/>
      <c r="D41" s="326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53"/>
      <c r="R41" s="354"/>
      <c r="S41" s="354"/>
      <c r="T41" s="353"/>
      <c r="U41" s="335"/>
      <c r="V41" s="337"/>
      <c r="W41" s="330"/>
      <c r="X41" s="330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s="135" customFormat="1" x14ac:dyDescent="0.25">
      <c r="E43" s="339"/>
      <c r="F43" s="339"/>
      <c r="G43" s="339"/>
      <c r="H43" s="339"/>
      <c r="I43" s="340"/>
      <c r="J43" s="340"/>
      <c r="K43" s="340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239"/>
      <c r="J364" s="239"/>
      <c r="K364" s="239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  <row r="2058" spans="5:22" x14ac:dyDescent="0.25">
      <c r="E2058" s="183"/>
      <c r="F2058" s="183"/>
      <c r="G2058" s="183"/>
      <c r="H2058" s="183"/>
      <c r="I2058" s="183"/>
      <c r="J2058" s="183"/>
      <c r="K2058" s="183"/>
      <c r="L2058" s="183"/>
      <c r="M2058" s="183"/>
      <c r="N2058" s="183"/>
      <c r="O2058" s="183"/>
      <c r="P2058" s="183"/>
      <c r="Q2058" s="183"/>
      <c r="R2058" s="183"/>
      <c r="S2058" s="183"/>
      <c r="T2058" s="183"/>
      <c r="U2058" s="183"/>
      <c r="V2058" s="183"/>
    </row>
  </sheetData>
  <mergeCells count="5">
    <mergeCell ref="B14:B15"/>
    <mergeCell ref="B6:C7"/>
    <mergeCell ref="B8:C8"/>
    <mergeCell ref="B9:C9"/>
    <mergeCell ref="B12:B13"/>
  </mergeCells>
  <phoneticPr fontId="16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2058"/>
  <sheetViews>
    <sheetView topLeftCell="M1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37.8984375" style="3" customWidth="1"/>
    <col min="4" max="4" width="8.69921875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5.89843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</row>
    <row r="3" spans="1:24" ht="39" customHeight="1" x14ac:dyDescent="0.4">
      <c r="A3" s="4" t="s">
        <v>42</v>
      </c>
      <c r="B3" s="4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4" s="134" customFormat="1" ht="18.75" customHeight="1" x14ac:dyDescent="0.25">
      <c r="A4" s="131" t="s">
        <v>44</v>
      </c>
      <c r="B4" s="1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4" ht="30.75" customHeight="1" thickBot="1" x14ac:dyDescent="0.45">
      <c r="A5" s="7" t="s">
        <v>138</v>
      </c>
      <c r="B5" s="4"/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4" ht="42" customHeight="1" thickTop="1" thickBot="1" x14ac:dyDescent="0.45">
      <c r="A6" s="112" t="s">
        <v>1</v>
      </c>
      <c r="B6" s="993" t="s">
        <v>2</v>
      </c>
      <c r="C6" s="993"/>
      <c r="D6" s="88" t="s">
        <v>3</v>
      </c>
      <c r="E6" s="142" t="s">
        <v>139</v>
      </c>
      <c r="F6" s="143" t="s">
        <v>140</v>
      </c>
      <c r="G6" s="142" t="s">
        <v>141</v>
      </c>
      <c r="H6" s="144" t="s">
        <v>160</v>
      </c>
      <c r="I6" s="143" t="s">
        <v>142</v>
      </c>
      <c r="J6" s="143" t="s">
        <v>152</v>
      </c>
      <c r="K6" s="143" t="s">
        <v>153</v>
      </c>
      <c r="L6" s="144" t="s">
        <v>161</v>
      </c>
      <c r="M6" s="143" t="s">
        <v>154</v>
      </c>
      <c r="N6" s="143" t="s">
        <v>155</v>
      </c>
      <c r="O6" s="143" t="s">
        <v>156</v>
      </c>
      <c r="P6" s="144" t="s">
        <v>162</v>
      </c>
      <c r="Q6" s="143" t="s">
        <v>157</v>
      </c>
      <c r="R6" s="143" t="s">
        <v>158</v>
      </c>
      <c r="S6" s="143" t="s">
        <v>159</v>
      </c>
      <c r="T6" s="144" t="s">
        <v>163</v>
      </c>
      <c r="U6" s="138" t="s">
        <v>46</v>
      </c>
      <c r="V6" s="139" t="s">
        <v>58</v>
      </c>
      <c r="W6" s="233"/>
      <c r="X6" s="233"/>
    </row>
    <row r="7" spans="1:24" ht="44.25" customHeight="1" thickTop="1" thickBot="1" x14ac:dyDescent="0.4">
      <c r="A7" s="102"/>
      <c r="B7" s="993"/>
      <c r="C7" s="993"/>
      <c r="D7" s="89" t="s">
        <v>4</v>
      </c>
      <c r="E7" s="16"/>
      <c r="F7" s="54"/>
      <c r="G7" s="16"/>
      <c r="H7" s="136" t="s">
        <v>45</v>
      </c>
      <c r="I7" s="237"/>
      <c r="J7" s="237"/>
      <c r="K7" s="237"/>
      <c r="L7" s="238" t="s">
        <v>45</v>
      </c>
      <c r="M7" s="237"/>
      <c r="N7" s="237"/>
      <c r="O7" s="237"/>
      <c r="P7" s="238" t="s">
        <v>45</v>
      </c>
      <c r="Q7" s="237"/>
      <c r="R7" s="237"/>
      <c r="S7" s="237"/>
      <c r="T7" s="238" t="s">
        <v>45</v>
      </c>
      <c r="U7" s="140" t="s">
        <v>53</v>
      </c>
      <c r="V7" s="141" t="s">
        <v>53</v>
      </c>
      <c r="W7" s="233"/>
      <c r="X7" s="233"/>
    </row>
    <row r="8" spans="1:24" ht="30" customHeight="1" thickTop="1" thickBot="1" x14ac:dyDescent="0.3">
      <c r="A8" s="103" t="s">
        <v>5</v>
      </c>
      <c r="B8" s="994" t="s">
        <v>6</v>
      </c>
      <c r="C8" s="994"/>
      <c r="D8" s="90"/>
      <c r="E8" s="184">
        <v>22</v>
      </c>
      <c r="F8" s="185">
        <v>20</v>
      </c>
      <c r="G8" s="184">
        <v>23</v>
      </c>
      <c r="H8" s="186">
        <f>AVERAGE(E8:G8)</f>
        <v>21.666666666666668</v>
      </c>
      <c r="I8" s="185">
        <v>19</v>
      </c>
      <c r="J8" s="185">
        <v>21</v>
      </c>
      <c r="K8" s="185">
        <v>21</v>
      </c>
      <c r="L8" s="186">
        <v>20</v>
      </c>
      <c r="M8" s="185">
        <v>21</v>
      </c>
      <c r="N8" s="185">
        <v>22</v>
      </c>
      <c r="O8" s="185">
        <v>21</v>
      </c>
      <c r="P8" s="186">
        <v>21.333333333333332</v>
      </c>
      <c r="Q8" s="281">
        <v>22</v>
      </c>
      <c r="R8" s="281">
        <v>21</v>
      </c>
      <c r="S8" s="281">
        <v>19</v>
      </c>
      <c r="T8" s="282">
        <v>21</v>
      </c>
      <c r="U8" s="359">
        <v>252</v>
      </c>
      <c r="V8" s="360">
        <v>21</v>
      </c>
      <c r="W8" s="233"/>
      <c r="X8" s="233"/>
    </row>
    <row r="9" spans="1:24" ht="30" customHeight="1" thickTop="1" thickBot="1" x14ac:dyDescent="0.3">
      <c r="A9" s="103" t="s">
        <v>7</v>
      </c>
      <c r="B9" s="994" t="s">
        <v>40</v>
      </c>
      <c r="C9" s="994"/>
      <c r="D9" s="90"/>
      <c r="E9" s="184">
        <v>53</v>
      </c>
      <c r="F9" s="185">
        <v>54</v>
      </c>
      <c r="G9" s="184">
        <v>54</v>
      </c>
      <c r="H9" s="186">
        <f>AVERAGE(E9:G9)</f>
        <v>53.666666666666664</v>
      </c>
      <c r="I9" s="185">
        <v>54</v>
      </c>
      <c r="J9" s="185">
        <v>54</v>
      </c>
      <c r="K9" s="185">
        <v>54</v>
      </c>
      <c r="L9" s="186">
        <v>54</v>
      </c>
      <c r="M9" s="185">
        <v>54</v>
      </c>
      <c r="N9" s="185">
        <v>54</v>
      </c>
      <c r="O9" s="185">
        <v>54</v>
      </c>
      <c r="P9" s="186">
        <v>54</v>
      </c>
      <c r="Q9" s="281">
        <v>54</v>
      </c>
      <c r="R9" s="281">
        <v>55</v>
      </c>
      <c r="S9" s="281">
        <v>55</v>
      </c>
      <c r="T9" s="282">
        <v>55</v>
      </c>
      <c r="U9" s="361" t="s">
        <v>11</v>
      </c>
      <c r="V9" s="360">
        <v>54.083333333333336</v>
      </c>
      <c r="W9" s="233"/>
      <c r="X9" s="233"/>
    </row>
    <row r="10" spans="1:24" ht="44.25" customHeight="1" thickTop="1" x14ac:dyDescent="0.35">
      <c r="A10" s="104" t="s">
        <v>12</v>
      </c>
      <c r="B10" s="129" t="s">
        <v>27</v>
      </c>
      <c r="C10" s="30" t="s">
        <v>136</v>
      </c>
      <c r="D10" s="91" t="s">
        <v>9</v>
      </c>
      <c r="E10" s="187">
        <v>73922.399999999994</v>
      </c>
      <c r="F10" s="188">
        <v>65913.2</v>
      </c>
      <c r="G10" s="187">
        <v>77885.100000000006</v>
      </c>
      <c r="H10" s="189">
        <v>72573.566666666666</v>
      </c>
      <c r="I10" s="188">
        <v>74549.600000000006</v>
      </c>
      <c r="J10" s="188">
        <v>79280.2</v>
      </c>
      <c r="K10" s="188">
        <v>78490.2</v>
      </c>
      <c r="L10" s="189">
        <v>77440</v>
      </c>
      <c r="M10" s="188">
        <v>79759.199999999997</v>
      </c>
      <c r="N10" s="188">
        <v>83988.2</v>
      </c>
      <c r="O10" s="188">
        <v>79005.8</v>
      </c>
      <c r="P10" s="189">
        <v>80917.733333333337</v>
      </c>
      <c r="Q10" s="285">
        <v>88679.1</v>
      </c>
      <c r="R10" s="285">
        <v>87000.9</v>
      </c>
      <c r="S10" s="285">
        <v>96196</v>
      </c>
      <c r="T10" s="286">
        <v>90625.333333333328</v>
      </c>
      <c r="U10" s="362">
        <v>964669.9</v>
      </c>
      <c r="V10" s="363">
        <v>80389.15833333334</v>
      </c>
      <c r="W10" s="233"/>
      <c r="X10" s="233"/>
    </row>
    <row r="11" spans="1:24" ht="30" customHeight="1" x14ac:dyDescent="0.25">
      <c r="A11" s="105"/>
      <c r="B11" s="130" t="s">
        <v>28</v>
      </c>
      <c r="C11" s="21" t="s">
        <v>10</v>
      </c>
      <c r="D11" s="92"/>
      <c r="E11" s="190">
        <v>0.40468681312364602</v>
      </c>
      <c r="F11" s="245">
        <v>0.40510838320372256</v>
      </c>
      <c r="G11" s="190">
        <v>0.40176532003969934</v>
      </c>
      <c r="H11" s="193">
        <v>0.4037637140504573</v>
      </c>
      <c r="I11" s="191">
        <v>0.4104853554227581</v>
      </c>
      <c r="J11" s="191">
        <v>0.40383684788001473</v>
      </c>
      <c r="K11" s="191">
        <v>0.40156553370118259</v>
      </c>
      <c r="L11" s="193">
        <v>0.40516840858387787</v>
      </c>
      <c r="M11" s="191">
        <v>0.4052841946725122</v>
      </c>
      <c r="N11" s="191">
        <v>0.41160779439850503</v>
      </c>
      <c r="O11" s="191">
        <v>0.39865094314393423</v>
      </c>
      <c r="P11" s="193">
        <v>0.40524367552754431</v>
      </c>
      <c r="Q11" s="287">
        <v>0.39911561778485888</v>
      </c>
      <c r="R11" s="345">
        <v>0.40011985075224055</v>
      </c>
      <c r="S11" s="345">
        <v>0.41114497095793923</v>
      </c>
      <c r="T11" s="288">
        <v>0.40346014649834627</v>
      </c>
      <c r="U11" s="364" t="s">
        <v>11</v>
      </c>
      <c r="V11" s="365">
        <v>0.40443196979565715</v>
      </c>
      <c r="W11" s="233"/>
      <c r="X11" s="233"/>
    </row>
    <row r="12" spans="1:24" ht="40.5" customHeight="1" x14ac:dyDescent="0.35">
      <c r="A12" s="105"/>
      <c r="B12" s="991" t="s">
        <v>29</v>
      </c>
      <c r="C12" s="24" t="s">
        <v>136</v>
      </c>
      <c r="D12" s="93" t="s">
        <v>9</v>
      </c>
      <c r="E12" s="194">
        <v>72562.8</v>
      </c>
      <c r="F12" s="195">
        <v>64519.7</v>
      </c>
      <c r="G12" s="194">
        <v>76273.899999999994</v>
      </c>
      <c r="H12" s="196">
        <v>71118.8</v>
      </c>
      <c r="I12" s="195">
        <v>71384.7</v>
      </c>
      <c r="J12" s="195">
        <v>77082.899999999994</v>
      </c>
      <c r="K12" s="195">
        <v>76740.2</v>
      </c>
      <c r="L12" s="196">
        <v>75069.266666666663</v>
      </c>
      <c r="M12" s="195">
        <v>77279.5</v>
      </c>
      <c r="N12" s="195">
        <v>79633</v>
      </c>
      <c r="O12" s="195">
        <v>78754.8</v>
      </c>
      <c r="P12" s="196">
        <v>78555.766666666663</v>
      </c>
      <c r="Q12" s="289">
        <v>87922.2</v>
      </c>
      <c r="R12" s="289">
        <v>85769.3</v>
      </c>
      <c r="S12" s="289">
        <v>90513.600000000006</v>
      </c>
      <c r="T12" s="290">
        <v>88068.366666666654</v>
      </c>
      <c r="U12" s="366">
        <v>938436.6</v>
      </c>
      <c r="V12" s="367">
        <v>78203.05</v>
      </c>
      <c r="W12" s="233"/>
      <c r="X12" s="233"/>
    </row>
    <row r="13" spans="1:24" ht="30" customHeight="1" x14ac:dyDescent="0.25">
      <c r="A13" s="105"/>
      <c r="B13" s="991"/>
      <c r="C13" s="22" t="s">
        <v>10</v>
      </c>
      <c r="D13" s="94"/>
      <c r="E13" s="197">
        <v>0.39724370804152065</v>
      </c>
      <c r="F13" s="198">
        <v>0.39654380839936793</v>
      </c>
      <c r="G13" s="197">
        <v>0.39345404761855629</v>
      </c>
      <c r="H13" s="193">
        <v>0.39567010615175768</v>
      </c>
      <c r="I13" s="198">
        <v>0.39305876827302844</v>
      </c>
      <c r="J13" s="198">
        <v>0.39264425873610792</v>
      </c>
      <c r="K13" s="198">
        <v>0.3926123180898442</v>
      </c>
      <c r="L13" s="193">
        <v>0.39276466049705683</v>
      </c>
      <c r="M13" s="198">
        <v>0.39268397780060993</v>
      </c>
      <c r="N13" s="198">
        <v>0.39026391197020716</v>
      </c>
      <c r="O13" s="198">
        <v>0.39738443629596704</v>
      </c>
      <c r="P13" s="193">
        <v>0.39341472266339822</v>
      </c>
      <c r="Q13" s="291">
        <v>0.39570905850424637</v>
      </c>
      <c r="R13" s="346">
        <v>0.39445568396561587</v>
      </c>
      <c r="S13" s="346">
        <v>0.3868582003752602</v>
      </c>
      <c r="T13" s="292">
        <v>0.39234098094837416</v>
      </c>
      <c r="U13" s="368" t="s">
        <v>11</v>
      </c>
      <c r="V13" s="369">
        <v>0.39343381882894785</v>
      </c>
      <c r="W13" s="233"/>
      <c r="X13" s="233"/>
    </row>
    <row r="14" spans="1:24" ht="46.5" customHeight="1" x14ac:dyDescent="0.35">
      <c r="A14" s="105"/>
      <c r="B14" s="991" t="s">
        <v>30</v>
      </c>
      <c r="C14" s="23" t="s">
        <v>136</v>
      </c>
      <c r="D14" s="95" t="s">
        <v>9</v>
      </c>
      <c r="E14" s="200">
        <v>35413.300000000003</v>
      </c>
      <c r="F14" s="201">
        <v>31533.200000000001</v>
      </c>
      <c r="G14" s="200">
        <v>38866.1</v>
      </c>
      <c r="H14" s="318">
        <v>35270.866666666669</v>
      </c>
      <c r="I14" s="201">
        <v>34915.4</v>
      </c>
      <c r="J14" s="201">
        <v>39070</v>
      </c>
      <c r="K14" s="201">
        <v>39334</v>
      </c>
      <c r="L14" s="202">
        <v>37773.133333333331</v>
      </c>
      <c r="M14" s="201">
        <v>38844.9</v>
      </c>
      <c r="N14" s="201">
        <v>39518.400000000001</v>
      </c>
      <c r="O14" s="201">
        <v>39566.1</v>
      </c>
      <c r="P14" s="202">
        <v>39309.800000000003</v>
      </c>
      <c r="Q14" s="293">
        <v>44609.9</v>
      </c>
      <c r="R14" s="293">
        <v>43746.1</v>
      </c>
      <c r="S14" s="293">
        <v>46337.1</v>
      </c>
      <c r="T14" s="294">
        <v>44897.7</v>
      </c>
      <c r="U14" s="366">
        <v>471754.5</v>
      </c>
      <c r="V14" s="370">
        <v>39312.874999999993</v>
      </c>
      <c r="W14" s="233"/>
      <c r="X14" s="233"/>
    </row>
    <row r="15" spans="1:24" ht="30" customHeight="1" thickBot="1" x14ac:dyDescent="0.3">
      <c r="A15" s="106"/>
      <c r="B15" s="992"/>
      <c r="C15" s="31" t="s">
        <v>10</v>
      </c>
      <c r="D15" s="96"/>
      <c r="E15" s="203">
        <v>0.19386945660843827</v>
      </c>
      <c r="F15" s="204">
        <v>0.19380584874106588</v>
      </c>
      <c r="G15" s="203">
        <v>0.20048829757161454</v>
      </c>
      <c r="H15" s="193">
        <v>0.19622979518867717</v>
      </c>
      <c r="I15" s="204">
        <v>0.19225133842069936</v>
      </c>
      <c r="J15" s="204">
        <v>0.19901445312539795</v>
      </c>
      <c r="K15" s="204">
        <v>0.20123759020364729</v>
      </c>
      <c r="L15" s="193">
        <v>0.19763016942010969</v>
      </c>
      <c r="M15" s="204">
        <v>0.19738442729659111</v>
      </c>
      <c r="N15" s="204">
        <v>0.19367103309938638</v>
      </c>
      <c r="O15" s="204">
        <v>0.19964436891376602</v>
      </c>
      <c r="P15" s="193">
        <v>0.19686720302248531</v>
      </c>
      <c r="Q15" s="295">
        <v>0.20077456579758673</v>
      </c>
      <c r="R15" s="347">
        <v>0.2011896773825626</v>
      </c>
      <c r="S15" s="347">
        <v>0.1980463390762103</v>
      </c>
      <c r="T15" s="296">
        <v>0.20000352741878655</v>
      </c>
      <c r="U15" s="371" t="s">
        <v>11</v>
      </c>
      <c r="V15" s="372">
        <v>0.19778019579025463</v>
      </c>
      <c r="W15" s="233"/>
      <c r="X15" s="233"/>
    </row>
    <row r="16" spans="1:24" ht="30" customHeight="1" thickTop="1" x14ac:dyDescent="0.25">
      <c r="A16" s="104" t="s">
        <v>17</v>
      </c>
      <c r="B16" s="113" t="s">
        <v>13</v>
      </c>
      <c r="C16" s="114" t="s">
        <v>8</v>
      </c>
      <c r="D16" s="115" t="s">
        <v>9</v>
      </c>
      <c r="E16" s="206">
        <v>182665.7</v>
      </c>
      <c r="F16" s="207">
        <v>162705.1</v>
      </c>
      <c r="G16" s="206">
        <v>193857.2</v>
      </c>
      <c r="H16" s="208">
        <v>179742.66666666666</v>
      </c>
      <c r="I16" s="207">
        <v>181613.3</v>
      </c>
      <c r="J16" s="207">
        <v>196317.4</v>
      </c>
      <c r="K16" s="207">
        <v>195460.5</v>
      </c>
      <c r="L16" s="208">
        <v>191130.4</v>
      </c>
      <c r="M16" s="207">
        <v>196798.2</v>
      </c>
      <c r="N16" s="207">
        <v>204049.1</v>
      </c>
      <c r="O16" s="207">
        <v>198182.9</v>
      </c>
      <c r="P16" s="208">
        <v>199676.73333333337</v>
      </c>
      <c r="Q16" s="297">
        <v>222189</v>
      </c>
      <c r="R16" s="297">
        <v>217437.1</v>
      </c>
      <c r="S16" s="297">
        <v>233971</v>
      </c>
      <c r="T16" s="298">
        <v>224532.36666666667</v>
      </c>
      <c r="U16" s="373">
        <v>2385246.4</v>
      </c>
      <c r="V16" s="374">
        <v>198770.54166666666</v>
      </c>
      <c r="W16" s="233"/>
      <c r="X16" s="233"/>
    </row>
    <row r="17" spans="1:24" ht="30" customHeight="1" x14ac:dyDescent="0.25">
      <c r="A17" s="105"/>
      <c r="B17" s="10" t="s">
        <v>14</v>
      </c>
      <c r="C17" s="12" t="s">
        <v>15</v>
      </c>
      <c r="D17" s="98" t="s">
        <v>9</v>
      </c>
      <c r="E17" s="209">
        <v>8302.9863636363643</v>
      </c>
      <c r="F17" s="210">
        <v>8135.2550000000001</v>
      </c>
      <c r="G17" s="209">
        <v>8428.5739130434795</v>
      </c>
      <c r="H17" s="211">
        <v>8295.8153846153855</v>
      </c>
      <c r="I17" s="210">
        <v>9558.5947368421057</v>
      </c>
      <c r="J17" s="210">
        <v>9348.447619047618</v>
      </c>
      <c r="K17" s="210">
        <v>9307.6428571428569</v>
      </c>
      <c r="L17" s="211">
        <v>9399.8557377049165</v>
      </c>
      <c r="M17" s="210">
        <v>9371.3428571428576</v>
      </c>
      <c r="N17" s="210">
        <v>9274.9590909090912</v>
      </c>
      <c r="O17" s="210">
        <v>9437.2809523809519</v>
      </c>
      <c r="P17" s="211">
        <v>9359.8468750000011</v>
      </c>
      <c r="Q17" s="299">
        <v>10099.5</v>
      </c>
      <c r="R17" s="299">
        <v>10354.147619047619</v>
      </c>
      <c r="S17" s="299">
        <v>12314.263157894737</v>
      </c>
      <c r="T17" s="300">
        <v>10864.469354838709</v>
      </c>
      <c r="U17" s="375" t="s">
        <v>11</v>
      </c>
      <c r="V17" s="376">
        <v>9465.2634920634919</v>
      </c>
      <c r="W17" s="233"/>
      <c r="X17" s="233"/>
    </row>
    <row r="18" spans="1:24" s="27" customFormat="1" ht="40.5" customHeight="1" x14ac:dyDescent="0.35">
      <c r="A18" s="107"/>
      <c r="B18" s="15" t="s">
        <v>36</v>
      </c>
      <c r="C18" s="23" t="s">
        <v>8</v>
      </c>
      <c r="D18" s="95" t="s">
        <v>9</v>
      </c>
      <c r="E18" s="200">
        <v>181898.5</v>
      </c>
      <c r="F18" s="195">
        <v>161966.1</v>
      </c>
      <c r="G18" s="200">
        <v>193025.1</v>
      </c>
      <c r="H18" s="202">
        <v>178963.23333333331</v>
      </c>
      <c r="I18" s="201">
        <v>180849.7</v>
      </c>
      <c r="J18" s="201">
        <v>195433.1</v>
      </c>
      <c r="K18" s="201">
        <v>194564.4</v>
      </c>
      <c r="L18" s="202">
        <v>190282.4</v>
      </c>
      <c r="M18" s="201">
        <v>195883.6</v>
      </c>
      <c r="N18" s="201">
        <v>203139.6</v>
      </c>
      <c r="O18" s="201">
        <v>197326.7</v>
      </c>
      <c r="P18" s="202">
        <v>198783.3</v>
      </c>
      <c r="Q18" s="293">
        <v>221211.2</v>
      </c>
      <c r="R18" s="293">
        <v>216516.3</v>
      </c>
      <c r="S18" s="293">
        <v>233046.7</v>
      </c>
      <c r="T18" s="294">
        <v>223591.4</v>
      </c>
      <c r="U18" s="366">
        <v>2374861</v>
      </c>
      <c r="V18" s="370">
        <v>197905.08333333334</v>
      </c>
      <c r="W18" s="234"/>
      <c r="X18" s="234"/>
    </row>
    <row r="19" spans="1:24" s="25" customFormat="1" ht="30" customHeight="1" x14ac:dyDescent="0.25">
      <c r="A19" s="108"/>
      <c r="B19" s="9" t="s">
        <v>32</v>
      </c>
      <c r="C19" s="26" t="s">
        <v>10</v>
      </c>
      <c r="D19" s="94"/>
      <c r="E19" s="197">
        <v>0.99579997777360496</v>
      </c>
      <c r="F19" s="198">
        <v>0.99545804034415641</v>
      </c>
      <c r="G19" s="197">
        <v>0.9957076652298702</v>
      </c>
      <c r="H19" s="199">
        <v>0.9956636153908921</v>
      </c>
      <c r="I19" s="198">
        <v>0.99579546211648595</v>
      </c>
      <c r="J19" s="198">
        <v>0.99549555974152071</v>
      </c>
      <c r="K19" s="198">
        <v>0.99541544199467413</v>
      </c>
      <c r="L19" s="199">
        <v>0.99556323850104456</v>
      </c>
      <c r="M19" s="198">
        <v>0.99535259976971335</v>
      </c>
      <c r="N19" s="198">
        <v>0.99554273946809857</v>
      </c>
      <c r="O19" s="198">
        <v>0.99567974835366735</v>
      </c>
      <c r="P19" s="199">
        <v>0.99552502919715968</v>
      </c>
      <c r="Q19" s="291">
        <v>0.99559924208669204</v>
      </c>
      <c r="R19" s="346">
        <v>0.99576521210041902</v>
      </c>
      <c r="S19" s="291">
        <v>0.99604951040940981</v>
      </c>
      <c r="T19" s="292">
        <v>0.99580465486550696</v>
      </c>
      <c r="U19" s="368" t="s">
        <v>11</v>
      </c>
      <c r="V19" s="369">
        <v>0.99564598441485963</v>
      </c>
      <c r="W19" s="235"/>
      <c r="X19" s="235"/>
    </row>
    <row r="20" spans="1:24" s="27" customFormat="1" ht="40.5" customHeight="1" x14ac:dyDescent="0.35">
      <c r="A20" s="107"/>
      <c r="B20" s="15" t="s">
        <v>36</v>
      </c>
      <c r="C20" s="23" t="s">
        <v>8</v>
      </c>
      <c r="D20" s="95" t="s">
        <v>9</v>
      </c>
      <c r="E20" s="200">
        <v>767.1</v>
      </c>
      <c r="F20" s="201">
        <v>739</v>
      </c>
      <c r="G20" s="200">
        <v>832</v>
      </c>
      <c r="H20" s="202">
        <v>779.36666666666667</v>
      </c>
      <c r="I20" s="201">
        <v>763.6</v>
      </c>
      <c r="J20" s="201">
        <v>884.3</v>
      </c>
      <c r="K20" s="201">
        <v>896.1</v>
      </c>
      <c r="L20" s="202">
        <v>848</v>
      </c>
      <c r="M20" s="201">
        <v>914.7</v>
      </c>
      <c r="N20" s="201">
        <v>909.6</v>
      </c>
      <c r="O20" s="201">
        <v>856.3</v>
      </c>
      <c r="P20" s="202">
        <v>893.53333333333342</v>
      </c>
      <c r="Q20" s="293">
        <v>977.8</v>
      </c>
      <c r="R20" s="293">
        <v>920.8</v>
      </c>
      <c r="S20" s="293">
        <v>924.4</v>
      </c>
      <c r="T20" s="294">
        <v>941</v>
      </c>
      <c r="U20" s="366">
        <v>10385.700000000001</v>
      </c>
      <c r="V20" s="370">
        <v>865.47500000000002</v>
      </c>
      <c r="W20" s="234"/>
      <c r="X20" s="234"/>
    </row>
    <row r="21" spans="1:24" s="25" customFormat="1" ht="30" customHeight="1" thickBot="1" x14ac:dyDescent="0.3">
      <c r="A21" s="109"/>
      <c r="B21" s="32" t="s">
        <v>31</v>
      </c>
      <c r="C21" s="33" t="s">
        <v>10</v>
      </c>
      <c r="D21" s="96"/>
      <c r="E21" s="203">
        <v>4.1994747782424392E-3</v>
      </c>
      <c r="F21" s="204">
        <v>4.5419596558436085E-3</v>
      </c>
      <c r="G21" s="203">
        <v>4.2918189265087909E-3</v>
      </c>
      <c r="H21" s="205">
        <v>4.3360137084869476E-3</v>
      </c>
      <c r="I21" s="204">
        <v>4.2045378835140375E-3</v>
      </c>
      <c r="J21" s="204">
        <v>4.5044402584793804E-3</v>
      </c>
      <c r="K21" s="204">
        <v>4.5845580053258846E-3</v>
      </c>
      <c r="L21" s="205">
        <v>4.4367614989556875E-3</v>
      </c>
      <c r="M21" s="204">
        <v>4.6479083650155335E-3</v>
      </c>
      <c r="N21" s="204">
        <v>4.4577506100247442E-3</v>
      </c>
      <c r="O21" s="204">
        <v>4.3207562307343364E-3</v>
      </c>
      <c r="P21" s="205">
        <v>4.4754717352582041E-3</v>
      </c>
      <c r="Q21" s="295">
        <v>4.4007579133080394E-3</v>
      </c>
      <c r="R21" s="347">
        <v>4.2347878995810748E-3</v>
      </c>
      <c r="S21" s="347">
        <v>3.9509169939864345E-3</v>
      </c>
      <c r="T21" s="296">
        <v>4.1954876022918496E-3</v>
      </c>
      <c r="U21" s="371" t="s">
        <v>11</v>
      </c>
      <c r="V21" s="372">
        <v>4.3541413583099856E-3</v>
      </c>
      <c r="W21" s="235"/>
      <c r="X21" s="235"/>
    </row>
    <row r="22" spans="1:24" ht="30" customHeight="1" thickTop="1" x14ac:dyDescent="0.25">
      <c r="A22" s="104" t="s">
        <v>24</v>
      </c>
      <c r="B22" s="113" t="s">
        <v>37</v>
      </c>
      <c r="C22" s="114" t="s">
        <v>19</v>
      </c>
      <c r="D22" s="115" t="s">
        <v>16</v>
      </c>
      <c r="E22" s="206">
        <v>72384.2</v>
      </c>
      <c r="F22" s="207">
        <v>70238.5</v>
      </c>
      <c r="G22" s="206">
        <v>81186.3</v>
      </c>
      <c r="H22" s="208">
        <v>74603</v>
      </c>
      <c r="I22" s="207">
        <v>74118.100000000006</v>
      </c>
      <c r="J22" s="207">
        <v>79874.7</v>
      </c>
      <c r="K22" s="207">
        <v>77930.7</v>
      </c>
      <c r="L22" s="208">
        <v>77307.833333333328</v>
      </c>
      <c r="M22" s="207">
        <v>76833.242000000013</v>
      </c>
      <c r="N22" s="207">
        <v>76349.2</v>
      </c>
      <c r="O22" s="207">
        <v>75174.3</v>
      </c>
      <c r="P22" s="208">
        <v>76118.914000000004</v>
      </c>
      <c r="Q22" s="297">
        <v>83765.8</v>
      </c>
      <c r="R22" s="297">
        <v>80467.8</v>
      </c>
      <c r="S22" s="297">
        <v>83856.3</v>
      </c>
      <c r="T22" s="298">
        <v>82696.633333333346</v>
      </c>
      <c r="U22" s="373">
        <v>932179.24199999997</v>
      </c>
      <c r="V22" s="377">
        <v>77681.595166666681</v>
      </c>
      <c r="W22" s="233"/>
      <c r="X22" s="233"/>
    </row>
    <row r="23" spans="1:24" ht="30" customHeight="1" x14ac:dyDescent="0.25">
      <c r="A23" s="105"/>
      <c r="B23" s="10" t="s">
        <v>14</v>
      </c>
      <c r="C23" s="29" t="s">
        <v>38</v>
      </c>
      <c r="D23" s="99" t="s">
        <v>16</v>
      </c>
      <c r="E23" s="212">
        <v>3290.1909090909089</v>
      </c>
      <c r="F23" s="213">
        <v>3511.9250000000002</v>
      </c>
      <c r="G23" s="212">
        <v>3529.8391304347829</v>
      </c>
      <c r="H23" s="214">
        <v>3443.2153846153847</v>
      </c>
      <c r="I23" s="213">
        <v>3900.9526315789476</v>
      </c>
      <c r="J23" s="213">
        <v>3803.5571428571429</v>
      </c>
      <c r="K23" s="213">
        <v>3710.985714285714</v>
      </c>
      <c r="L23" s="214">
        <v>3802.0245901639346</v>
      </c>
      <c r="M23" s="213">
        <v>3658.7258095238103</v>
      </c>
      <c r="N23" s="213">
        <v>3470.4181818181819</v>
      </c>
      <c r="O23" s="213">
        <v>3579.7285714285717</v>
      </c>
      <c r="P23" s="214">
        <v>1.9363851762156006</v>
      </c>
      <c r="Q23" s="301">
        <v>3807.5363636363636</v>
      </c>
      <c r="R23" s="301">
        <v>3831.8</v>
      </c>
      <c r="S23" s="301">
        <v>4413.4894736842107</v>
      </c>
      <c r="T23" s="302">
        <v>4001.45</v>
      </c>
      <c r="U23" s="378"/>
      <c r="V23" s="379">
        <v>3699.1239761904762</v>
      </c>
      <c r="W23" s="233"/>
      <c r="X23" s="233"/>
    </row>
    <row r="24" spans="1:24" s="27" customFormat="1" ht="42.75" customHeight="1" x14ac:dyDescent="0.35">
      <c r="A24" s="107"/>
      <c r="B24" s="15" t="s">
        <v>36</v>
      </c>
      <c r="C24" s="86" t="s">
        <v>19</v>
      </c>
      <c r="D24" s="95" t="s">
        <v>16</v>
      </c>
      <c r="E24" s="200">
        <v>71259.7</v>
      </c>
      <c r="F24" s="201">
        <v>69228.800000000003</v>
      </c>
      <c r="G24" s="200">
        <v>79941.2</v>
      </c>
      <c r="H24" s="202">
        <v>73476.566666666666</v>
      </c>
      <c r="I24" s="201">
        <v>73034.5</v>
      </c>
      <c r="J24" s="201">
        <v>78653.3</v>
      </c>
      <c r="K24" s="201">
        <v>76759.199999999997</v>
      </c>
      <c r="L24" s="202">
        <v>76149</v>
      </c>
      <c r="M24" s="201">
        <v>75580.289999999994</v>
      </c>
      <c r="N24" s="201">
        <v>75103.3</v>
      </c>
      <c r="O24" s="201">
        <v>73976.3</v>
      </c>
      <c r="P24" s="202">
        <v>74886.63</v>
      </c>
      <c r="Q24" s="293">
        <v>82387.8</v>
      </c>
      <c r="R24" s="293">
        <v>79161.8</v>
      </c>
      <c r="S24" s="293">
        <v>82528.100000000006</v>
      </c>
      <c r="T24" s="294">
        <v>81359.233333333337</v>
      </c>
      <c r="U24" s="366">
        <v>917614.49</v>
      </c>
      <c r="V24" s="370">
        <v>76467.874166666661</v>
      </c>
      <c r="W24" s="234"/>
      <c r="X24" s="234"/>
    </row>
    <row r="25" spans="1:24" s="25" customFormat="1" ht="30" customHeight="1" x14ac:dyDescent="0.25">
      <c r="A25" s="108"/>
      <c r="B25" s="9" t="s">
        <v>32</v>
      </c>
      <c r="C25" s="20" t="s">
        <v>21</v>
      </c>
      <c r="D25" s="94"/>
      <c r="E25" s="197">
        <v>0.98446484177486249</v>
      </c>
      <c r="F25" s="198">
        <v>0.98562469301024369</v>
      </c>
      <c r="G25" s="197">
        <v>0.98466366862389332</v>
      </c>
      <c r="H25" s="199">
        <v>0.98490096466183219</v>
      </c>
      <c r="I25" s="198">
        <v>0.98538008934389842</v>
      </c>
      <c r="J25" s="198">
        <v>0.98470854976607114</v>
      </c>
      <c r="K25" s="198">
        <v>0.98496741335571214</v>
      </c>
      <c r="L25" s="199">
        <v>0.98501014343091575</v>
      </c>
      <c r="M25" s="198">
        <v>0.98369257931352161</v>
      </c>
      <c r="N25" s="198">
        <v>0.98368155789451628</v>
      </c>
      <c r="O25" s="198">
        <v>0.98406370262177367</v>
      </c>
      <c r="P25" s="199">
        <v>0.98381261327660374</v>
      </c>
      <c r="Q25" s="291">
        <v>0.98354937217814431</v>
      </c>
      <c r="R25" s="346">
        <v>0.98376990547771903</v>
      </c>
      <c r="S25" s="291">
        <v>0.9841609992332121</v>
      </c>
      <c r="T25" s="292">
        <v>0.98382675896302507</v>
      </c>
      <c r="U25" s="380" t="s">
        <v>11</v>
      </c>
      <c r="V25" s="381">
        <v>0.98437558857376906</v>
      </c>
      <c r="W25" s="235"/>
      <c r="X25" s="236"/>
    </row>
    <row r="26" spans="1:24" s="27" customFormat="1" ht="37.5" customHeight="1" x14ac:dyDescent="0.35">
      <c r="A26" s="107"/>
      <c r="B26" s="15" t="s">
        <v>36</v>
      </c>
      <c r="C26" s="87" t="s">
        <v>19</v>
      </c>
      <c r="D26" s="95" t="s">
        <v>16</v>
      </c>
      <c r="E26" s="200">
        <v>1124.4000000000001</v>
      </c>
      <c r="F26" s="201">
        <v>1009.7</v>
      </c>
      <c r="G26" s="200">
        <v>1245.0999999999999</v>
      </c>
      <c r="H26" s="202">
        <v>1126.4000000000001</v>
      </c>
      <c r="I26" s="201">
        <v>1083.5999999999999</v>
      </c>
      <c r="J26" s="201">
        <v>1221.4000000000001</v>
      </c>
      <c r="K26" s="201">
        <v>1171.5</v>
      </c>
      <c r="L26" s="202">
        <v>1158.8333333333333</v>
      </c>
      <c r="M26" s="201">
        <v>1252.952</v>
      </c>
      <c r="N26" s="201">
        <v>1245.9000000000001</v>
      </c>
      <c r="O26" s="201">
        <v>1198</v>
      </c>
      <c r="P26" s="202">
        <v>1232.2839999999999</v>
      </c>
      <c r="Q26" s="293">
        <v>1378</v>
      </c>
      <c r="R26" s="293">
        <v>1306</v>
      </c>
      <c r="S26" s="293">
        <v>1328.2</v>
      </c>
      <c r="T26" s="294">
        <v>1337.4</v>
      </c>
      <c r="U26" s="366">
        <v>14564.652</v>
      </c>
      <c r="V26" s="382">
        <v>1213.721</v>
      </c>
      <c r="W26" s="234"/>
      <c r="X26" s="234"/>
    </row>
    <row r="27" spans="1:24" s="25" customFormat="1" ht="30" customHeight="1" thickBot="1" x14ac:dyDescent="0.3">
      <c r="A27" s="109"/>
      <c r="B27" s="32" t="s">
        <v>31</v>
      </c>
      <c r="C27" s="33" t="s">
        <v>21</v>
      </c>
      <c r="D27" s="96"/>
      <c r="E27" s="203">
        <v>1.5533776708176648E-2</v>
      </c>
      <c r="F27" s="204">
        <v>1.4375306989756332E-2</v>
      </c>
      <c r="G27" s="203">
        <v>1.5336331376106559E-2</v>
      </c>
      <c r="H27" s="205">
        <v>1.5098588528611451E-2</v>
      </c>
      <c r="I27" s="204">
        <v>1.4619910656101544E-2</v>
      </c>
      <c r="J27" s="204">
        <v>1.5291450233928893E-2</v>
      </c>
      <c r="K27" s="204">
        <v>1.5032586644287809E-2</v>
      </c>
      <c r="L27" s="205">
        <v>1.4989856569084203E-2</v>
      </c>
      <c r="M27" s="204">
        <v>1.6307420686478384E-2</v>
      </c>
      <c r="N27" s="204">
        <v>1.6318442105483753E-2</v>
      </c>
      <c r="O27" s="204">
        <v>1.5936297378226334E-2</v>
      </c>
      <c r="P27" s="205">
        <v>1.6187386723396157E-2</v>
      </c>
      <c r="Q27" s="295">
        <v>1.6450627821855697E-2</v>
      </c>
      <c r="R27" s="347">
        <v>1.6230094522280962E-2</v>
      </c>
      <c r="S27" s="347">
        <v>1.5839000766787945E-2</v>
      </c>
      <c r="T27" s="296">
        <v>1.6173241036974869E-2</v>
      </c>
      <c r="U27" s="383" t="s">
        <v>11</v>
      </c>
      <c r="V27" s="384">
        <v>1.5624304150724695E-2</v>
      </c>
      <c r="W27" s="235"/>
      <c r="X27" s="235"/>
    </row>
    <row r="28" spans="1:24" ht="30" customHeight="1" thickTop="1" x14ac:dyDescent="0.25">
      <c r="A28" s="104" t="s">
        <v>33</v>
      </c>
      <c r="B28" s="113" t="s">
        <v>34</v>
      </c>
      <c r="C28" s="177" t="s">
        <v>18</v>
      </c>
      <c r="D28" s="97"/>
      <c r="E28" s="215">
        <v>1511</v>
      </c>
      <c r="F28" s="216">
        <v>1511</v>
      </c>
      <c r="G28" s="215">
        <v>1512</v>
      </c>
      <c r="H28" s="217">
        <v>1511.3333333333333</v>
      </c>
      <c r="I28" s="216">
        <v>1513</v>
      </c>
      <c r="J28" s="216">
        <v>1504</v>
      </c>
      <c r="K28" s="216">
        <v>1504</v>
      </c>
      <c r="L28" s="217">
        <v>1507</v>
      </c>
      <c r="M28" s="216">
        <v>1504</v>
      </c>
      <c r="N28" s="216">
        <v>1502</v>
      </c>
      <c r="O28" s="216">
        <v>1505</v>
      </c>
      <c r="P28" s="217">
        <v>1503.6666666666667</v>
      </c>
      <c r="Q28" s="303">
        <v>1505</v>
      </c>
      <c r="R28" s="303">
        <v>1507</v>
      </c>
      <c r="S28" s="303">
        <v>1515</v>
      </c>
      <c r="T28" s="304">
        <v>1509</v>
      </c>
      <c r="U28" s="385" t="s">
        <v>11</v>
      </c>
      <c r="V28" s="386">
        <v>1507.75</v>
      </c>
      <c r="W28" s="233"/>
      <c r="X28" s="233"/>
    </row>
    <row r="29" spans="1:24" ht="30" customHeight="1" x14ac:dyDescent="0.25">
      <c r="A29" s="110"/>
      <c r="B29" s="11"/>
      <c r="C29" s="119" t="s">
        <v>19</v>
      </c>
      <c r="D29" s="120" t="s">
        <v>16</v>
      </c>
      <c r="E29" s="218">
        <v>72384.100000000006</v>
      </c>
      <c r="F29" s="219">
        <v>70238.5</v>
      </c>
      <c r="G29" s="218">
        <v>81186.3</v>
      </c>
      <c r="H29" s="220">
        <v>74602.96666666666</v>
      </c>
      <c r="I29" s="219">
        <v>74118.100000000006</v>
      </c>
      <c r="J29" s="219">
        <v>79874.7</v>
      </c>
      <c r="K29" s="219">
        <v>77930.7</v>
      </c>
      <c r="L29" s="220">
        <v>77307.833333333328</v>
      </c>
      <c r="M29" s="219">
        <v>76833.242000000013</v>
      </c>
      <c r="N29" s="219">
        <v>76349.2</v>
      </c>
      <c r="O29" s="219">
        <v>75174.3</v>
      </c>
      <c r="P29" s="220">
        <v>76118.914000000004</v>
      </c>
      <c r="Q29" s="305">
        <v>83765.8</v>
      </c>
      <c r="R29" s="305">
        <v>80467.8</v>
      </c>
      <c r="S29" s="305">
        <v>83856.3</v>
      </c>
      <c r="T29" s="306">
        <v>82696.633333333346</v>
      </c>
      <c r="U29" s="387">
        <v>932179.24199999997</v>
      </c>
      <c r="V29" s="388">
        <v>77681.586833333349</v>
      </c>
      <c r="W29" s="233"/>
      <c r="X29" s="233"/>
    </row>
    <row r="30" spans="1:24" ht="30" customHeight="1" x14ac:dyDescent="0.25">
      <c r="A30" s="110"/>
      <c r="B30" s="11"/>
      <c r="C30" s="2" t="s">
        <v>20</v>
      </c>
      <c r="D30" s="100" t="s">
        <v>16</v>
      </c>
      <c r="E30" s="221">
        <v>3290.1863636363632</v>
      </c>
      <c r="F30" s="222">
        <v>3511.9250000000002</v>
      </c>
      <c r="G30" s="221">
        <v>3529.8391304347829</v>
      </c>
      <c r="H30" s="223">
        <v>3443.2138461538457</v>
      </c>
      <c r="I30" s="222">
        <v>3900.9526315789476</v>
      </c>
      <c r="J30" s="222">
        <v>3803.5571428571429</v>
      </c>
      <c r="K30" s="222">
        <v>3710.985714285714</v>
      </c>
      <c r="L30" s="223">
        <v>3802.0245901639346</v>
      </c>
      <c r="M30" s="222">
        <v>3658.7258095238103</v>
      </c>
      <c r="N30" s="222">
        <v>3470.4181818181819</v>
      </c>
      <c r="O30" s="222">
        <v>3579.7285714285717</v>
      </c>
      <c r="P30" s="223">
        <v>3568.0740937500004</v>
      </c>
      <c r="Q30" s="307">
        <v>3807.5363636363636</v>
      </c>
      <c r="R30" s="307">
        <v>3831.8</v>
      </c>
      <c r="S30" s="307">
        <v>4413.4894736842107</v>
      </c>
      <c r="T30" s="308">
        <v>4001.45</v>
      </c>
      <c r="U30" s="389" t="s">
        <v>25</v>
      </c>
      <c r="V30" s="390">
        <v>3699.1239761904762</v>
      </c>
      <c r="W30" s="233"/>
      <c r="X30" s="233"/>
    </row>
    <row r="31" spans="1:24" ht="30" customHeight="1" x14ac:dyDescent="0.25">
      <c r="A31" s="110"/>
      <c r="B31" s="11"/>
      <c r="C31" s="2" t="s">
        <v>22</v>
      </c>
      <c r="D31" s="100" t="s">
        <v>23</v>
      </c>
      <c r="E31" s="356">
        <v>2.5235611135594702</v>
      </c>
      <c r="F31" s="396">
        <v>2.3164660407041722</v>
      </c>
      <c r="G31" s="356">
        <v>2.3878068097696286</v>
      </c>
      <c r="H31" s="358">
        <v>2.4092779880110906</v>
      </c>
      <c r="I31" s="357">
        <v>2.4503232004058386</v>
      </c>
      <c r="J31" s="357">
        <v>2.4578170559639037</v>
      </c>
      <c r="K31" s="357">
        <v>2.5081322251692852</v>
      </c>
      <c r="L31" s="358">
        <v>2.4723290222853653</v>
      </c>
      <c r="M31" s="357">
        <v>2.6</v>
      </c>
      <c r="N31" s="357">
        <f t="shared" ref="N31:S31" si="0">+N32/N29</f>
        <v>2.6725767918982779</v>
      </c>
      <c r="O31" s="357">
        <f t="shared" si="0"/>
        <v>2.6363118778625139</v>
      </c>
      <c r="P31" s="358">
        <f t="shared" si="0"/>
        <v>2.62322099515678</v>
      </c>
      <c r="Q31" s="397">
        <f t="shared" si="0"/>
        <v>2.6525025726489808</v>
      </c>
      <c r="R31" s="397">
        <f t="shared" si="0"/>
        <v>2.7021628527187271</v>
      </c>
      <c r="S31" s="397">
        <f t="shared" si="0"/>
        <v>2.7901421837118976</v>
      </c>
      <c r="T31" s="398">
        <v>2.7151331029598542</v>
      </c>
      <c r="U31" s="399" t="s">
        <v>11</v>
      </c>
      <c r="V31" s="400">
        <v>2.5587851483180741</v>
      </c>
      <c r="W31" s="233"/>
      <c r="X31" s="233"/>
    </row>
    <row r="32" spans="1:24" ht="30" customHeight="1" x14ac:dyDescent="0.25">
      <c r="A32" s="110"/>
      <c r="B32" s="11"/>
      <c r="C32" s="124" t="s">
        <v>26</v>
      </c>
      <c r="D32" s="125" t="s">
        <v>9</v>
      </c>
      <c r="E32" s="230">
        <v>182665.7</v>
      </c>
      <c r="F32" s="231">
        <v>162705.1</v>
      </c>
      <c r="G32" s="230">
        <v>193857.2</v>
      </c>
      <c r="H32" s="232">
        <v>179742.66666666666</v>
      </c>
      <c r="I32" s="231">
        <v>181613.3</v>
      </c>
      <c r="J32" s="231">
        <v>196317.4</v>
      </c>
      <c r="K32" s="231">
        <v>195460.5</v>
      </c>
      <c r="L32" s="232">
        <v>191130.4</v>
      </c>
      <c r="M32" s="231">
        <v>196798.2</v>
      </c>
      <c r="N32" s="231">
        <v>204049.1</v>
      </c>
      <c r="O32" s="231">
        <v>198182.9</v>
      </c>
      <c r="P32" s="232">
        <v>199676.73333333337</v>
      </c>
      <c r="Q32" s="315">
        <v>222189</v>
      </c>
      <c r="R32" s="315">
        <v>217437.1</v>
      </c>
      <c r="S32" s="315">
        <v>233971</v>
      </c>
      <c r="T32" s="316">
        <v>224532.36666666667</v>
      </c>
      <c r="U32" s="387">
        <v>2385246.4</v>
      </c>
      <c r="V32" s="391">
        <v>198770.54166666666</v>
      </c>
      <c r="W32" s="233"/>
      <c r="X32" s="233"/>
    </row>
    <row r="33" spans="1:24" ht="33" customHeight="1" thickBot="1" x14ac:dyDescent="0.3">
      <c r="A33" s="111"/>
      <c r="B33" s="13"/>
      <c r="C33" s="341" t="s">
        <v>20</v>
      </c>
      <c r="D33" s="101" t="s">
        <v>9</v>
      </c>
      <c r="E33" s="342">
        <v>8302.9863636363643</v>
      </c>
      <c r="F33" s="343">
        <v>8135.2550000000001</v>
      </c>
      <c r="G33" s="342">
        <v>8428.5739130434795</v>
      </c>
      <c r="H33" s="344">
        <v>8295.8153846153855</v>
      </c>
      <c r="I33" s="343">
        <v>9558.5947368421057</v>
      </c>
      <c r="J33" s="343">
        <v>9348.447619047618</v>
      </c>
      <c r="K33" s="343">
        <v>9307.6428571428569</v>
      </c>
      <c r="L33" s="344">
        <v>9399.8557377049165</v>
      </c>
      <c r="M33" s="343">
        <v>9371.3428571428576</v>
      </c>
      <c r="N33" s="343">
        <v>9274.9590909090912</v>
      </c>
      <c r="O33" s="343">
        <v>9437.2809523809519</v>
      </c>
      <c r="P33" s="344">
        <v>9359.8468750000011</v>
      </c>
      <c r="Q33" s="348">
        <v>10099.5</v>
      </c>
      <c r="R33" s="348">
        <v>10354.147619047619</v>
      </c>
      <c r="S33" s="348">
        <v>12314.263157894737</v>
      </c>
      <c r="T33" s="349">
        <v>10864.469354838709</v>
      </c>
      <c r="U33" s="392" t="s">
        <v>11</v>
      </c>
      <c r="V33" s="393">
        <v>9465.2634920634919</v>
      </c>
      <c r="W33" s="233"/>
      <c r="X33" s="233"/>
    </row>
    <row r="34" spans="1:24" s="135" customFormat="1" ht="30" customHeight="1" thickTop="1" x14ac:dyDescent="0.25">
      <c r="A34" s="325"/>
      <c r="B34" s="119"/>
      <c r="C34" s="2"/>
      <c r="D34" s="326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50"/>
      <c r="R34" s="350"/>
      <c r="S34" s="350"/>
      <c r="T34" s="350"/>
      <c r="U34" s="328"/>
      <c r="V34" s="329"/>
      <c r="W34" s="330"/>
      <c r="X34" s="330"/>
    </row>
    <row r="35" spans="1:24" s="135" customFormat="1" ht="30" customHeight="1" x14ac:dyDescent="0.25">
      <c r="A35" s="325"/>
      <c r="B35" s="331"/>
      <c r="C35" s="119"/>
      <c r="D35" s="332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1"/>
      <c r="R35" s="351"/>
      <c r="S35" s="351"/>
      <c r="T35" s="351"/>
      <c r="U35" s="334"/>
      <c r="V35" s="334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2"/>
      <c r="R36" s="352"/>
      <c r="S36" s="352"/>
      <c r="T36" s="352"/>
      <c r="U36" s="335"/>
      <c r="V36" s="336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53"/>
      <c r="R37" s="354"/>
      <c r="S37" s="354"/>
      <c r="T37" s="353"/>
      <c r="U37" s="335"/>
      <c r="V37" s="337"/>
      <c r="W37" s="330"/>
      <c r="X37" s="330"/>
    </row>
    <row r="38" spans="1:24" s="135" customFormat="1" ht="30" customHeight="1" x14ac:dyDescent="0.25">
      <c r="A38" s="325"/>
      <c r="B38" s="331"/>
      <c r="C38" s="2"/>
      <c r="D38" s="326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5"/>
      <c r="R38" s="352"/>
      <c r="S38" s="352"/>
      <c r="T38" s="355"/>
      <c r="U38" s="335"/>
      <c r="V38" s="336"/>
      <c r="W38" s="330"/>
      <c r="X38" s="330"/>
    </row>
    <row r="39" spans="1:24" s="135" customFormat="1" ht="30" customHeight="1" x14ac:dyDescent="0.25">
      <c r="A39" s="325"/>
      <c r="B39" s="331"/>
      <c r="C39" s="119"/>
      <c r="D39" s="332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1"/>
      <c r="R39" s="351"/>
      <c r="S39" s="351"/>
      <c r="T39" s="351"/>
      <c r="U39" s="334"/>
      <c r="V39" s="334"/>
      <c r="W39" s="330"/>
      <c r="X39" s="330"/>
    </row>
    <row r="40" spans="1:24" s="135" customFormat="1" ht="30" customHeight="1" x14ac:dyDescent="0.25">
      <c r="A40" s="325"/>
      <c r="B40" s="331"/>
      <c r="C40" s="2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2"/>
      <c r="R40" s="352"/>
      <c r="S40" s="352"/>
      <c r="T40" s="352"/>
      <c r="U40" s="335"/>
      <c r="V40" s="336"/>
      <c r="W40" s="330"/>
      <c r="X40" s="330"/>
    </row>
    <row r="41" spans="1:24" s="135" customFormat="1" ht="30" customHeight="1" x14ac:dyDescent="0.25">
      <c r="A41" s="325"/>
      <c r="B41" s="331"/>
      <c r="C41" s="338"/>
      <c r="D41" s="326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53"/>
      <c r="R41" s="354"/>
      <c r="S41" s="354"/>
      <c r="T41" s="353"/>
      <c r="U41" s="335"/>
      <c r="V41" s="337"/>
      <c r="W41" s="330"/>
      <c r="X41" s="330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s="135" customFormat="1" x14ac:dyDescent="0.25">
      <c r="E43" s="339"/>
      <c r="F43" s="339"/>
      <c r="G43" s="339"/>
      <c r="H43" s="339"/>
      <c r="I43" s="340"/>
      <c r="J43" s="340"/>
      <c r="K43" s="340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239"/>
      <c r="J364" s="239"/>
      <c r="K364" s="239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  <row r="2058" spans="5:22" x14ac:dyDescent="0.25">
      <c r="E2058" s="183"/>
      <c r="F2058" s="183"/>
      <c r="G2058" s="183"/>
      <c r="H2058" s="183"/>
      <c r="I2058" s="183"/>
      <c r="J2058" s="183"/>
      <c r="K2058" s="183"/>
      <c r="L2058" s="183"/>
      <c r="M2058" s="183"/>
      <c r="N2058" s="183"/>
      <c r="O2058" s="183"/>
      <c r="P2058" s="183"/>
      <c r="Q2058" s="183"/>
      <c r="R2058" s="183"/>
      <c r="S2058" s="183"/>
      <c r="T2058" s="183"/>
      <c r="U2058" s="183"/>
      <c r="V2058" s="183"/>
    </row>
  </sheetData>
  <mergeCells count="5">
    <mergeCell ref="B14:B15"/>
    <mergeCell ref="B6:C7"/>
    <mergeCell ref="B8:C8"/>
    <mergeCell ref="B9:C9"/>
    <mergeCell ref="B12:B13"/>
  </mergeCells>
  <phoneticPr fontId="16" type="noConversion"/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2058"/>
  <sheetViews>
    <sheetView zoomScale="75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37.8984375" style="3" customWidth="1"/>
    <col min="4" max="4" width="8.69921875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5.89843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</row>
    <row r="3" spans="1:24" ht="39" customHeight="1" x14ac:dyDescent="0.4">
      <c r="A3" s="4" t="s">
        <v>42</v>
      </c>
      <c r="B3" s="4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4" s="134" customFormat="1" ht="18.75" customHeight="1" x14ac:dyDescent="0.25">
      <c r="A4" s="131" t="s">
        <v>44</v>
      </c>
      <c r="B4" s="1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4" ht="30.75" customHeight="1" thickBot="1" x14ac:dyDescent="0.45">
      <c r="A5" s="7" t="s">
        <v>137</v>
      </c>
      <c r="B5" s="4"/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4" ht="42" customHeight="1" thickTop="1" thickBot="1" x14ac:dyDescent="0.45">
      <c r="A6" s="112" t="s">
        <v>1</v>
      </c>
      <c r="B6" s="993" t="s">
        <v>2</v>
      </c>
      <c r="C6" s="993"/>
      <c r="D6" s="88" t="s">
        <v>3</v>
      </c>
      <c r="E6" s="142" t="s">
        <v>133</v>
      </c>
      <c r="F6" s="143" t="s">
        <v>134</v>
      </c>
      <c r="G6" s="142" t="s">
        <v>135</v>
      </c>
      <c r="H6" s="144" t="s">
        <v>54</v>
      </c>
      <c r="I6" s="143" t="s">
        <v>143</v>
      </c>
      <c r="J6" s="143" t="s">
        <v>144</v>
      </c>
      <c r="K6" s="143" t="s">
        <v>145</v>
      </c>
      <c r="L6" s="144" t="s">
        <v>55</v>
      </c>
      <c r="M6" s="143" t="s">
        <v>146</v>
      </c>
      <c r="N6" s="143" t="s">
        <v>147</v>
      </c>
      <c r="O6" s="143" t="s">
        <v>148</v>
      </c>
      <c r="P6" s="144" t="s">
        <v>56</v>
      </c>
      <c r="Q6" s="143" t="s">
        <v>149</v>
      </c>
      <c r="R6" s="143" t="s">
        <v>150</v>
      </c>
      <c r="S6" s="143" t="s">
        <v>151</v>
      </c>
      <c r="T6" s="144" t="s">
        <v>57</v>
      </c>
      <c r="U6" s="138" t="s">
        <v>46</v>
      </c>
      <c r="V6" s="139" t="s">
        <v>58</v>
      </c>
      <c r="W6" s="233"/>
      <c r="X6" s="233"/>
    </row>
    <row r="7" spans="1:24" ht="44.25" customHeight="1" thickTop="1" thickBot="1" x14ac:dyDescent="0.4">
      <c r="A7" s="102"/>
      <c r="B7" s="993"/>
      <c r="C7" s="993"/>
      <c r="D7" s="89" t="s">
        <v>4</v>
      </c>
      <c r="E7" s="16"/>
      <c r="F7" s="54"/>
      <c r="G7" s="16"/>
      <c r="H7" s="136" t="s">
        <v>45</v>
      </c>
      <c r="I7" s="237"/>
      <c r="J7" s="237"/>
      <c r="K7" s="237"/>
      <c r="L7" s="238" t="s">
        <v>45</v>
      </c>
      <c r="M7" s="237"/>
      <c r="N7" s="237"/>
      <c r="O7" s="237"/>
      <c r="P7" s="238" t="s">
        <v>45</v>
      </c>
      <c r="Q7" s="237"/>
      <c r="R7" s="237"/>
      <c r="S7" s="237"/>
      <c r="T7" s="238" t="s">
        <v>45</v>
      </c>
      <c r="U7" s="140" t="s">
        <v>53</v>
      </c>
      <c r="V7" s="141" t="s">
        <v>53</v>
      </c>
      <c r="W7" s="233"/>
      <c r="X7" s="233"/>
    </row>
    <row r="8" spans="1:24" ht="30" customHeight="1" thickTop="1" thickBot="1" x14ac:dyDescent="0.3">
      <c r="A8" s="103" t="s">
        <v>5</v>
      </c>
      <c r="B8" s="994" t="s">
        <v>6</v>
      </c>
      <c r="C8" s="994"/>
      <c r="D8" s="90"/>
      <c r="E8" s="184">
        <v>21</v>
      </c>
      <c r="F8" s="185">
        <v>20</v>
      </c>
      <c r="G8" s="184">
        <v>22</v>
      </c>
      <c r="H8" s="186">
        <f>AVERAGE(E8:G8)</f>
        <v>21</v>
      </c>
      <c r="I8" s="185">
        <v>21</v>
      </c>
      <c r="J8" s="185">
        <v>20</v>
      </c>
      <c r="K8" s="185">
        <v>22</v>
      </c>
      <c r="L8" s="186">
        <f t="shared" ref="L8:L16" si="0">AVERAGE(I8:K8)</f>
        <v>21</v>
      </c>
      <c r="M8" s="185">
        <v>21</v>
      </c>
      <c r="N8" s="185">
        <v>22</v>
      </c>
      <c r="O8" s="185">
        <v>22</v>
      </c>
      <c r="P8" s="186">
        <v>21.666666666666668</v>
      </c>
      <c r="Q8" s="281">
        <v>21</v>
      </c>
      <c r="R8" s="281">
        <v>20</v>
      </c>
      <c r="S8" s="281">
        <v>21</v>
      </c>
      <c r="T8" s="282">
        <v>20.666666666666668</v>
      </c>
      <c r="U8" s="359">
        <f>SUM(E8:G8,I8:K8,M8:O8,Q8:S8)</f>
        <v>253</v>
      </c>
      <c r="V8" s="360">
        <f>AVERAGE(E8:G8,I8:K8,M8:O8,Q8:S8)</f>
        <v>21.083333333333332</v>
      </c>
      <c r="W8" s="233"/>
      <c r="X8" s="233"/>
    </row>
    <row r="9" spans="1:24" ht="30" customHeight="1" thickTop="1" thickBot="1" x14ac:dyDescent="0.3">
      <c r="A9" s="103" t="s">
        <v>7</v>
      </c>
      <c r="B9" s="994" t="s">
        <v>40</v>
      </c>
      <c r="C9" s="994"/>
      <c r="D9" s="90"/>
      <c r="E9" s="184">
        <v>53</v>
      </c>
      <c r="F9" s="185">
        <v>52</v>
      </c>
      <c r="G9" s="184">
        <v>52</v>
      </c>
      <c r="H9" s="186">
        <f>AVERAGE(E9:G9)</f>
        <v>52.333333333333336</v>
      </c>
      <c r="I9" s="185">
        <v>52</v>
      </c>
      <c r="J9" s="185">
        <v>52</v>
      </c>
      <c r="K9" s="185">
        <v>52</v>
      </c>
      <c r="L9" s="186">
        <f t="shared" si="0"/>
        <v>52</v>
      </c>
      <c r="M9" s="185">
        <v>52</v>
      </c>
      <c r="N9" s="185">
        <v>52</v>
      </c>
      <c r="O9" s="185">
        <v>52</v>
      </c>
      <c r="P9" s="186">
        <v>52</v>
      </c>
      <c r="Q9" s="281">
        <v>52</v>
      </c>
      <c r="R9" s="281">
        <v>52</v>
      </c>
      <c r="S9" s="281">
        <v>52</v>
      </c>
      <c r="T9" s="282">
        <v>52</v>
      </c>
      <c r="U9" s="361" t="s">
        <v>11</v>
      </c>
      <c r="V9" s="360">
        <f>AVERAGE(E9:G9,I9:K9,M9:O9,Q9:S9)</f>
        <v>52.083333333333336</v>
      </c>
      <c r="W9" s="233"/>
      <c r="X9" s="233"/>
    </row>
    <row r="10" spans="1:24" ht="44.25" customHeight="1" thickTop="1" x14ac:dyDescent="0.35">
      <c r="A10" s="104" t="s">
        <v>12</v>
      </c>
      <c r="B10" s="129" t="s">
        <v>27</v>
      </c>
      <c r="C10" s="30" t="s">
        <v>136</v>
      </c>
      <c r="D10" s="91" t="s">
        <v>9</v>
      </c>
      <c r="E10" s="187">
        <v>64433.8</v>
      </c>
      <c r="F10" s="188">
        <v>62356.6</v>
      </c>
      <c r="G10" s="187">
        <v>69054.399999999994</v>
      </c>
      <c r="H10" s="189">
        <f>AVERAGE(E10:G10)</f>
        <v>65281.599999999999</v>
      </c>
      <c r="I10" s="188">
        <v>68287</v>
      </c>
      <c r="J10" s="188">
        <v>67122.3</v>
      </c>
      <c r="K10" s="188">
        <v>70766.600000000006</v>
      </c>
      <c r="L10" s="189">
        <f t="shared" si="0"/>
        <v>68725.3</v>
      </c>
      <c r="M10" s="188">
        <v>68904.2</v>
      </c>
      <c r="N10" s="188">
        <v>72097.3</v>
      </c>
      <c r="O10" s="188">
        <v>71468.3</v>
      </c>
      <c r="P10" s="189">
        <v>70823.266666666663</v>
      </c>
      <c r="Q10" s="285">
        <v>75917.600000000006</v>
      </c>
      <c r="R10" s="285">
        <v>74339.7</v>
      </c>
      <c r="S10" s="285">
        <v>83683</v>
      </c>
      <c r="T10" s="286">
        <v>77980.100000000006</v>
      </c>
      <c r="U10" s="362">
        <f>+S10+R10+Q10+O10+N10+M10+K10+J10+I10+G10+F10+E10</f>
        <v>848430.80000000016</v>
      </c>
      <c r="V10" s="363">
        <f>+U10/12</f>
        <v>70702.56666666668</v>
      </c>
      <c r="W10" s="233"/>
      <c r="X10" s="233"/>
    </row>
    <row r="11" spans="1:24" ht="30" customHeight="1" x14ac:dyDescent="0.25">
      <c r="A11" s="105"/>
      <c r="B11" s="130" t="s">
        <v>28</v>
      </c>
      <c r="C11" s="21" t="s">
        <v>10</v>
      </c>
      <c r="D11" s="92"/>
      <c r="E11" s="190">
        <f>E10/E16</f>
        <v>0.4046932351189953</v>
      </c>
      <c r="F11" s="245">
        <f>F10/F16</f>
        <v>0.41267065947519938</v>
      </c>
      <c r="G11" s="190">
        <f>G10/G16</f>
        <v>0.41028005399547501</v>
      </c>
      <c r="H11" s="193">
        <f>SUM(E10:G10)/SUM(E16:G16)</f>
        <v>0.40917632301071505</v>
      </c>
      <c r="I11" s="191">
        <f>I10/I16</f>
        <v>0.41164396567574002</v>
      </c>
      <c r="J11" s="191">
        <f>J10/J16</f>
        <v>0.40178294049302921</v>
      </c>
      <c r="K11" s="191">
        <f>K10/K16</f>
        <v>0.40552368476396611</v>
      </c>
      <c r="L11" s="193">
        <f>SUM(I10:K10)/SUM(I16:K16)</f>
        <v>0.40629291625702546</v>
      </c>
      <c r="M11" s="191">
        <v>0.40402973102290107</v>
      </c>
      <c r="N11" s="191">
        <v>0.40498299400928522</v>
      </c>
      <c r="O11" s="191">
        <v>0.39824904447489451</v>
      </c>
      <c r="P11" s="193">
        <v>0.4023864815286875</v>
      </c>
      <c r="Q11" s="287">
        <v>0.41628885832790474</v>
      </c>
      <c r="R11" s="345">
        <v>0.40076346989032596</v>
      </c>
      <c r="S11" s="345">
        <v>0.4034753176747965</v>
      </c>
      <c r="T11" s="288">
        <v>0.40666294318668345</v>
      </c>
      <c r="U11" s="364" t="s">
        <v>11</v>
      </c>
      <c r="V11" s="365">
        <f>U10/U16</f>
        <v>0.40606809501342178</v>
      </c>
      <c r="W11" s="233"/>
      <c r="X11" s="233"/>
    </row>
    <row r="12" spans="1:24" ht="40.5" customHeight="1" x14ac:dyDescent="0.35">
      <c r="A12" s="105"/>
      <c r="B12" s="991" t="s">
        <v>29</v>
      </c>
      <c r="C12" s="24" t="s">
        <v>136</v>
      </c>
      <c r="D12" s="93" t="s">
        <v>9</v>
      </c>
      <c r="E12" s="194">
        <v>63289.599999999999</v>
      </c>
      <c r="F12" s="195">
        <v>57844.800000000003</v>
      </c>
      <c r="G12" s="194">
        <v>66655.600000000006</v>
      </c>
      <c r="H12" s="196">
        <f>AVERAGE(E12:G12)</f>
        <v>62596.666666666664</v>
      </c>
      <c r="I12" s="195">
        <v>64418.1</v>
      </c>
      <c r="J12" s="195">
        <v>67061.600000000006</v>
      </c>
      <c r="K12" s="195">
        <v>68247</v>
      </c>
      <c r="L12" s="196">
        <f t="shared" si="0"/>
        <v>66575.566666666666</v>
      </c>
      <c r="M12" s="195">
        <v>67512.3</v>
      </c>
      <c r="N12" s="195">
        <v>71484.800000000003</v>
      </c>
      <c r="O12" s="195">
        <v>72432.5</v>
      </c>
      <c r="P12" s="196">
        <v>70476.53333333334</v>
      </c>
      <c r="Q12" s="289">
        <v>70917.399999999994</v>
      </c>
      <c r="R12" s="289">
        <v>74042.899999999994</v>
      </c>
      <c r="S12" s="289">
        <v>82373.7</v>
      </c>
      <c r="T12" s="290">
        <v>75778</v>
      </c>
      <c r="U12" s="366">
        <f>+S12+R12+Q12+O12+N12+M12+K12+J12+I12+G12+F12+E12</f>
        <v>826280.29999999993</v>
      </c>
      <c r="V12" s="367">
        <f>+U12/12</f>
        <v>68856.691666666666</v>
      </c>
      <c r="W12" s="233"/>
      <c r="X12" s="233"/>
    </row>
    <row r="13" spans="1:24" ht="30" customHeight="1" x14ac:dyDescent="0.25">
      <c r="A13" s="105"/>
      <c r="B13" s="991"/>
      <c r="C13" s="22" t="s">
        <v>10</v>
      </c>
      <c r="D13" s="94"/>
      <c r="E13" s="197">
        <f>E12/E16</f>
        <v>0.39750678950158402</v>
      </c>
      <c r="F13" s="198">
        <f>F12/F16</f>
        <v>0.38281195195393936</v>
      </c>
      <c r="G13" s="197">
        <f>G12/G16</f>
        <v>0.39602781527463549</v>
      </c>
      <c r="H13" s="193">
        <f>SUM(E12:G12)/SUM(E16:G16)</f>
        <v>0.39234752057844879</v>
      </c>
      <c r="I13" s="198">
        <f>I12/I16</f>
        <v>0.38832167389541772</v>
      </c>
      <c r="J13" s="198">
        <f>J12/J16</f>
        <v>0.40141960037375551</v>
      </c>
      <c r="K13" s="198">
        <f>K12/K16</f>
        <v>0.39108527065149934</v>
      </c>
      <c r="L13" s="193">
        <f>SUM(I12:K12)/SUM(I16:K16)</f>
        <v>0.3935840386650043</v>
      </c>
      <c r="M13" s="198">
        <v>0.39586812429049906</v>
      </c>
      <c r="N13" s="198">
        <v>0.4015424756565773</v>
      </c>
      <c r="O13" s="198">
        <v>0.40362194027180992</v>
      </c>
      <c r="P13" s="193">
        <v>0.40041649606211233</v>
      </c>
      <c r="Q13" s="291">
        <v>0.3888706107883198</v>
      </c>
      <c r="R13" s="346">
        <v>0.39916342848763736</v>
      </c>
      <c r="S13" s="346">
        <v>0.39716256319142934</v>
      </c>
      <c r="T13" s="292">
        <v>0.39517908426381215</v>
      </c>
      <c r="U13" s="368" t="s">
        <v>11</v>
      </c>
      <c r="V13" s="369">
        <f>U12/U16</f>
        <v>0.39546662776518554</v>
      </c>
      <c r="W13" s="233"/>
      <c r="X13" s="233"/>
    </row>
    <row r="14" spans="1:24" ht="46.5" customHeight="1" x14ac:dyDescent="0.35">
      <c r="A14" s="105"/>
      <c r="B14" s="991" t="s">
        <v>30</v>
      </c>
      <c r="C14" s="23" t="s">
        <v>136</v>
      </c>
      <c r="D14" s="95" t="s">
        <v>9</v>
      </c>
      <c r="E14" s="200">
        <v>30857.4</v>
      </c>
      <c r="F14" s="201">
        <v>30310.9</v>
      </c>
      <c r="G14" s="200">
        <v>31897.7</v>
      </c>
      <c r="H14" s="318">
        <f>AVERAGE(E14:G14)</f>
        <v>31022</v>
      </c>
      <c r="I14" s="201">
        <v>32577.9</v>
      </c>
      <c r="J14" s="201">
        <v>32121.7</v>
      </c>
      <c r="K14" s="201">
        <v>34772.199999999997</v>
      </c>
      <c r="L14" s="202">
        <f t="shared" si="0"/>
        <v>33157.26666666667</v>
      </c>
      <c r="M14" s="201">
        <v>33422.199999999997</v>
      </c>
      <c r="N14" s="201">
        <v>33604.400000000001</v>
      </c>
      <c r="O14" s="201">
        <v>34793.5</v>
      </c>
      <c r="P14" s="202">
        <v>33940.033333333333</v>
      </c>
      <c r="Q14" s="293">
        <v>34760.800000000003</v>
      </c>
      <c r="R14" s="293">
        <v>36304.800000000003</v>
      </c>
      <c r="S14" s="293">
        <v>40551.199999999997</v>
      </c>
      <c r="T14" s="294">
        <v>37205.599999999999</v>
      </c>
      <c r="U14" s="366">
        <f>+S14+R14+Q14+O14+N14+M14+K14+J14+I14+G14+F14+E14</f>
        <v>405974.70000000007</v>
      </c>
      <c r="V14" s="370">
        <f>+U14/12</f>
        <v>33831.225000000006</v>
      </c>
      <c r="W14" s="233"/>
      <c r="X14" s="233"/>
    </row>
    <row r="15" spans="1:24" ht="30" customHeight="1" thickBot="1" x14ac:dyDescent="0.3">
      <c r="A15" s="106"/>
      <c r="B15" s="992"/>
      <c r="C15" s="31" t="s">
        <v>10</v>
      </c>
      <c r="D15" s="96"/>
      <c r="E15" s="203">
        <f>E14/E16</f>
        <v>0.19380792430930482</v>
      </c>
      <c r="F15" s="204">
        <f>F14/F16</f>
        <v>0.20059495053108767</v>
      </c>
      <c r="G15" s="203">
        <f>G14/G16</f>
        <v>0.18951710648896325</v>
      </c>
      <c r="H15" s="193">
        <f>SUM(E14:G14)/SUM(E16:G16)</f>
        <v>0.19444173997632416</v>
      </c>
      <c r="I15" s="204">
        <f>I14/I16</f>
        <v>0.19638431838252804</v>
      </c>
      <c r="J15" s="204">
        <f>J14/J16</f>
        <v>0.1922751616025514</v>
      </c>
      <c r="K15" s="204">
        <f>K14/K16</f>
        <v>0.19925997110712651</v>
      </c>
      <c r="L15" s="193">
        <f>SUM(I14:K14)/SUM(I16:K16)</f>
        <v>0.19602042579824117</v>
      </c>
      <c r="M15" s="204">
        <v>0.19597589807578641</v>
      </c>
      <c r="N15" s="204">
        <v>0.1887617223375303</v>
      </c>
      <c r="O15" s="204">
        <v>0.19388285616052489</v>
      </c>
      <c r="P15" s="193">
        <v>0.19283226033958295</v>
      </c>
      <c r="Q15" s="295">
        <v>0.19060841947802132</v>
      </c>
      <c r="R15" s="347">
        <v>0.1957182719552851</v>
      </c>
      <c r="S15" s="347">
        <v>0.19551651233935455</v>
      </c>
      <c r="T15" s="296">
        <v>3.3466728252157601E-2</v>
      </c>
      <c r="U15" s="371" t="s">
        <v>11</v>
      </c>
      <c r="V15" s="372">
        <f>U14/U16</f>
        <v>0.19430385253888166</v>
      </c>
      <c r="W15" s="233"/>
      <c r="X15" s="233"/>
    </row>
    <row r="16" spans="1:24" ht="30" customHeight="1" thickTop="1" x14ac:dyDescent="0.25">
      <c r="A16" s="104" t="s">
        <v>17</v>
      </c>
      <c r="B16" s="113" t="s">
        <v>13</v>
      </c>
      <c r="C16" s="114" t="s">
        <v>8</v>
      </c>
      <c r="D16" s="115" t="s">
        <v>9</v>
      </c>
      <c r="E16" s="206">
        <v>159216.4</v>
      </c>
      <c r="F16" s="207">
        <v>151105</v>
      </c>
      <c r="G16" s="206">
        <v>168310.39999999999</v>
      </c>
      <c r="H16" s="208">
        <f>AVERAGE(E16:G16)</f>
        <v>159543.93333333335</v>
      </c>
      <c r="I16" s="207">
        <v>165888.5</v>
      </c>
      <c r="J16" s="207">
        <v>167061.1</v>
      </c>
      <c r="K16" s="207">
        <v>174506.7</v>
      </c>
      <c r="L16" s="208">
        <f t="shared" si="0"/>
        <v>169152.1</v>
      </c>
      <c r="M16" s="207">
        <v>170542.4</v>
      </c>
      <c r="N16" s="207">
        <v>178025.5</v>
      </c>
      <c r="O16" s="207">
        <v>179456.3</v>
      </c>
      <c r="P16" s="208">
        <v>176008.06666666665</v>
      </c>
      <c r="Q16" s="297">
        <v>182367.6</v>
      </c>
      <c r="R16" s="297">
        <v>185495.2</v>
      </c>
      <c r="S16" s="297">
        <v>207405.5</v>
      </c>
      <c r="T16" s="298">
        <v>191756.1</v>
      </c>
      <c r="U16" s="373">
        <f>+S16+R16+Q16+O16+N16+M16+K16+J16+I16+G16+F16+E16</f>
        <v>2089380.5999999999</v>
      </c>
      <c r="V16" s="374">
        <f>+U16/12</f>
        <v>174115.05</v>
      </c>
      <c r="W16" s="233"/>
      <c r="X16" s="233"/>
    </row>
    <row r="17" spans="1:24" ht="30" customHeight="1" x14ac:dyDescent="0.25">
      <c r="A17" s="105"/>
      <c r="B17" s="10" t="s">
        <v>14</v>
      </c>
      <c r="C17" s="12" t="s">
        <v>15</v>
      </c>
      <c r="D17" s="98" t="s">
        <v>9</v>
      </c>
      <c r="E17" s="209">
        <f>E16/E8</f>
        <v>7581.7333333333327</v>
      </c>
      <c r="F17" s="210">
        <f>F16/F8</f>
        <v>7555.25</v>
      </c>
      <c r="G17" s="209">
        <f>G16/G8</f>
        <v>7650.4727272727268</v>
      </c>
      <c r="H17" s="211">
        <f>SUM(E16:G16)/SUM(E8:G8)</f>
        <v>7597.3301587301594</v>
      </c>
      <c r="I17" s="210">
        <f>I16/I8</f>
        <v>7899.4523809523807</v>
      </c>
      <c r="J17" s="210">
        <f>J16/J8</f>
        <v>8353.0550000000003</v>
      </c>
      <c r="K17" s="210">
        <f>K16/K8</f>
        <v>7932.1227272727274</v>
      </c>
      <c r="L17" s="211">
        <f>SUM(I16:K16)/SUM(I8:K8)</f>
        <v>8054.861904761905</v>
      </c>
      <c r="M17" s="210">
        <v>8121.0666666666666</v>
      </c>
      <c r="N17" s="210">
        <v>8092.068181818182</v>
      </c>
      <c r="O17" s="210">
        <v>8157.1045454545447</v>
      </c>
      <c r="P17" s="211">
        <v>8123.4492307692299</v>
      </c>
      <c r="Q17" s="299">
        <v>8684.1714285714297</v>
      </c>
      <c r="R17" s="299">
        <v>9274.76</v>
      </c>
      <c r="S17" s="299">
        <v>9876.4523809523816</v>
      </c>
      <c r="T17" s="300">
        <v>9278.5209677419371</v>
      </c>
      <c r="U17" s="375" t="s">
        <v>11</v>
      </c>
      <c r="V17" s="376">
        <f>U16/U8</f>
        <v>8258.4213438735169</v>
      </c>
      <c r="W17" s="233"/>
      <c r="X17" s="233"/>
    </row>
    <row r="18" spans="1:24" s="27" customFormat="1" ht="40.5" customHeight="1" x14ac:dyDescent="0.35">
      <c r="A18" s="107"/>
      <c r="B18" s="15" t="s">
        <v>36</v>
      </c>
      <c r="C18" s="23" t="s">
        <v>8</v>
      </c>
      <c r="D18" s="95" t="s">
        <v>9</v>
      </c>
      <c r="E18" s="200">
        <v>158580.79999999999</v>
      </c>
      <c r="F18" s="195">
        <v>150512.29999999999</v>
      </c>
      <c r="G18" s="200">
        <v>167607.70000000001</v>
      </c>
      <c r="H18" s="202">
        <f>AVERAGE(E18:G18)</f>
        <v>158900.26666666666</v>
      </c>
      <c r="I18" s="201">
        <v>165283</v>
      </c>
      <c r="J18" s="201">
        <v>166305.60000000001</v>
      </c>
      <c r="K18" s="201">
        <v>173785.8</v>
      </c>
      <c r="L18" s="202">
        <f>AVERAGE(I18:K18)</f>
        <v>168458.13333333333</v>
      </c>
      <c r="M18" s="201">
        <v>169838.7</v>
      </c>
      <c r="N18" s="201">
        <v>177186.5</v>
      </c>
      <c r="O18" s="201">
        <v>178694.3</v>
      </c>
      <c r="P18" s="202">
        <v>175239.83333333334</v>
      </c>
      <c r="Q18" s="293">
        <v>181595.8</v>
      </c>
      <c r="R18" s="293">
        <v>184687.4</v>
      </c>
      <c r="S18" s="293">
        <v>206607.9</v>
      </c>
      <c r="T18" s="294">
        <v>190963.7</v>
      </c>
      <c r="U18" s="366">
        <f>+S18+R18+Q18+O18+N18+M18+K18+J18+I18+G18+F18+E18</f>
        <v>2080685.8</v>
      </c>
      <c r="V18" s="370">
        <f>+U18/12</f>
        <v>173390.48333333334</v>
      </c>
      <c r="W18" s="234"/>
      <c r="X18" s="234"/>
    </row>
    <row r="19" spans="1:24" s="25" customFormat="1" ht="30" customHeight="1" x14ac:dyDescent="0.25">
      <c r="A19" s="108"/>
      <c r="B19" s="9" t="s">
        <v>32</v>
      </c>
      <c r="C19" s="26" t="s">
        <v>10</v>
      </c>
      <c r="D19" s="94"/>
      <c r="E19" s="197">
        <f>E18/E16</f>
        <v>0.99600794892988409</v>
      </c>
      <c r="F19" s="198">
        <f>F18/F16</f>
        <v>0.99607756196022623</v>
      </c>
      <c r="G19" s="197">
        <f>G18/G16</f>
        <v>0.9958249757590738</v>
      </c>
      <c r="H19" s="199">
        <f>SUM(E18:G18)/SUM(E16:G16)</f>
        <v>0.99596558356548803</v>
      </c>
      <c r="I19" s="198">
        <f>I18/I16</f>
        <v>0.99634995795368575</v>
      </c>
      <c r="J19" s="198">
        <f>J18/J16</f>
        <v>0.99547770246933609</v>
      </c>
      <c r="K19" s="198">
        <f>K18/K16</f>
        <v>0.99586892652259185</v>
      </c>
      <c r="L19" s="199">
        <f>SUM(I18:K18)/SUM(I16:K16)</f>
        <v>0.9958973807202709</v>
      </c>
      <c r="M19" s="198">
        <v>0.9958737533891866</v>
      </c>
      <c r="N19" s="198">
        <v>0.99528719200339277</v>
      </c>
      <c r="O19" s="198">
        <v>0.99575384090722918</v>
      </c>
      <c r="P19" s="199">
        <v>0.99563826209993611</v>
      </c>
      <c r="Q19" s="291">
        <v>0.99576788859424581</v>
      </c>
      <c r="R19" s="346">
        <v>0.9956451703332484</v>
      </c>
      <c r="S19" s="291">
        <v>0.9961543932055803</v>
      </c>
      <c r="T19" s="292">
        <v>0.99586766731279985</v>
      </c>
      <c r="U19" s="368" t="s">
        <v>11</v>
      </c>
      <c r="V19" s="369">
        <f>+U18/U16</f>
        <v>0.99583857531748887</v>
      </c>
      <c r="W19" s="235"/>
      <c r="X19" s="235"/>
    </row>
    <row r="20" spans="1:24" s="27" customFormat="1" ht="40.5" customHeight="1" x14ac:dyDescent="0.35">
      <c r="A20" s="107"/>
      <c r="B20" s="15" t="s">
        <v>36</v>
      </c>
      <c r="C20" s="23" t="s">
        <v>8</v>
      </c>
      <c r="D20" s="95" t="s">
        <v>9</v>
      </c>
      <c r="E20" s="200">
        <v>635.6</v>
      </c>
      <c r="F20" s="201">
        <v>592.70000000000005</v>
      </c>
      <c r="G20" s="200">
        <v>702.7</v>
      </c>
      <c r="H20" s="202">
        <f>AVERAGE(E20:G20)</f>
        <v>643.66666666666674</v>
      </c>
      <c r="I20" s="201">
        <v>605.5</v>
      </c>
      <c r="J20" s="201">
        <v>755.5</v>
      </c>
      <c r="K20" s="201">
        <v>720.9</v>
      </c>
      <c r="L20" s="202">
        <f>AVERAGE(I20:K20)</f>
        <v>693.9666666666667</v>
      </c>
      <c r="M20" s="201">
        <v>703.7</v>
      </c>
      <c r="N20" s="201">
        <v>839</v>
      </c>
      <c r="O20" s="201">
        <v>762</v>
      </c>
      <c r="P20" s="202">
        <v>768.23333333333323</v>
      </c>
      <c r="Q20" s="293">
        <v>771.8</v>
      </c>
      <c r="R20" s="293">
        <v>807.7</v>
      </c>
      <c r="S20" s="293">
        <v>797.7</v>
      </c>
      <c r="T20" s="294">
        <v>792.4</v>
      </c>
      <c r="U20" s="366">
        <f>+S20+R20+Q20+O20+N20+M20+K20+J20+I20+G20+F20+E20</f>
        <v>8694.7999999999993</v>
      </c>
      <c r="V20" s="370">
        <f>+U20/12</f>
        <v>724.56666666666661</v>
      </c>
      <c r="W20" s="234"/>
      <c r="X20" s="234"/>
    </row>
    <row r="21" spans="1:24" s="25" customFormat="1" ht="30" customHeight="1" thickBot="1" x14ac:dyDescent="0.3">
      <c r="A21" s="109"/>
      <c r="B21" s="32" t="s">
        <v>31</v>
      </c>
      <c r="C21" s="33" t="s">
        <v>10</v>
      </c>
      <c r="D21" s="96"/>
      <c r="E21" s="203">
        <f>E20/E16</f>
        <v>3.9920510701158931E-3</v>
      </c>
      <c r="F21" s="204">
        <f>F20/F16</f>
        <v>3.9224380397736673E-3</v>
      </c>
      <c r="G21" s="203">
        <f>G20/G16</f>
        <v>4.1750242409262887E-3</v>
      </c>
      <c r="H21" s="205">
        <f>SUM(E20:G20)/SUM(E16:G16)</f>
        <v>4.0344164345118734E-3</v>
      </c>
      <c r="I21" s="204">
        <f>I20/I16</f>
        <v>3.6500420463142411E-3</v>
      </c>
      <c r="J21" s="204">
        <f>J20/J16</f>
        <v>4.522297530663931E-3</v>
      </c>
      <c r="K21" s="204">
        <f>K20/K16</f>
        <v>4.1310734774080305E-3</v>
      </c>
      <c r="L21" s="205">
        <f>SUM(I20:K20)/SUM(I16:K16)</f>
        <v>4.1026192797291123E-3</v>
      </c>
      <c r="M21" s="204">
        <v>4.1262466108134988E-3</v>
      </c>
      <c r="N21" s="204">
        <v>4.7128079966072276E-3</v>
      </c>
      <c r="O21" s="204">
        <v>4.2461590927707748E-3</v>
      </c>
      <c r="P21" s="205">
        <v>4.3617379000638343E-3</v>
      </c>
      <c r="Q21" s="295">
        <v>4.232111405754092E-3</v>
      </c>
      <c r="R21" s="347">
        <v>4.3542905692438407E-3</v>
      </c>
      <c r="S21" s="347">
        <v>3.8460889417108036E-3</v>
      </c>
      <c r="T21" s="296">
        <v>4.1323326872000415E-3</v>
      </c>
      <c r="U21" s="371" t="s">
        <v>11</v>
      </c>
      <c r="V21" s="372">
        <f>+U20/U16</f>
        <v>4.1614246825111712E-3</v>
      </c>
      <c r="W21" s="235"/>
      <c r="X21" s="235"/>
    </row>
    <row r="22" spans="1:24" ht="30" customHeight="1" thickTop="1" x14ac:dyDescent="0.25">
      <c r="A22" s="104" t="s">
        <v>24</v>
      </c>
      <c r="B22" s="113" t="s">
        <v>37</v>
      </c>
      <c r="C22" s="114" t="s">
        <v>19</v>
      </c>
      <c r="D22" s="115" t="s">
        <v>16</v>
      </c>
      <c r="E22" s="206">
        <v>61349.5</v>
      </c>
      <c r="F22" s="207">
        <v>61899.4</v>
      </c>
      <c r="G22" s="206">
        <v>69560.2</v>
      </c>
      <c r="H22" s="208">
        <f>AVERAGE(E22:G22)</f>
        <v>64269.69999999999</v>
      </c>
      <c r="I22" s="207">
        <v>66356.2</v>
      </c>
      <c r="J22" s="207">
        <v>66646.399999999994</v>
      </c>
      <c r="K22" s="207">
        <v>69313.8</v>
      </c>
      <c r="L22" s="208">
        <f>AVERAGE(I22:K22)</f>
        <v>67438.799999999988</v>
      </c>
      <c r="M22" s="207">
        <v>67045.3</v>
      </c>
      <c r="N22" s="207">
        <v>67567.7</v>
      </c>
      <c r="O22" s="207">
        <v>67890.399999999994</v>
      </c>
      <c r="P22" s="208">
        <v>67501.133333333331</v>
      </c>
      <c r="Q22" s="297">
        <v>71018.600000000006</v>
      </c>
      <c r="R22" s="297">
        <v>70866.5</v>
      </c>
      <c r="S22" s="297">
        <v>76229.3</v>
      </c>
      <c r="T22" s="298">
        <v>72704.800000000003</v>
      </c>
      <c r="U22" s="373">
        <f>+S22+R22+Q22+O22+N22+M22+K22+J22+I22+G22+F22+E22</f>
        <v>815743.29999999993</v>
      </c>
      <c r="V22" s="377">
        <f>+U22/12</f>
        <v>67978.608333333323</v>
      </c>
      <c r="W22" s="233"/>
      <c r="X22" s="233"/>
    </row>
    <row r="23" spans="1:24" ht="30" customHeight="1" x14ac:dyDescent="0.25">
      <c r="A23" s="105"/>
      <c r="B23" s="10" t="s">
        <v>14</v>
      </c>
      <c r="C23" s="29" t="s">
        <v>38</v>
      </c>
      <c r="D23" s="99" t="s">
        <v>16</v>
      </c>
      <c r="E23" s="212">
        <f>E22/E8</f>
        <v>2921.4047619047619</v>
      </c>
      <c r="F23" s="213">
        <f>F22/F8</f>
        <v>3094.9700000000003</v>
      </c>
      <c r="G23" s="212">
        <f>G22/G8</f>
        <v>3161.8272727272724</v>
      </c>
      <c r="H23" s="214">
        <f>SUM(E22:G22)/SUM(E8:G8)</f>
        <v>3060.4619047619044</v>
      </c>
      <c r="I23" s="213">
        <f>I22/I8</f>
        <v>3159.8190476190475</v>
      </c>
      <c r="J23" s="213">
        <f>J22/J8</f>
        <v>3332.3199999999997</v>
      </c>
      <c r="K23" s="213">
        <f>K22/K8</f>
        <v>3150.6272727272731</v>
      </c>
      <c r="L23" s="214">
        <f>SUM(I22:K22)/SUM(I8:K8)</f>
        <v>3211.3714285714282</v>
      </c>
      <c r="M23" s="213">
        <v>3192.6333333333337</v>
      </c>
      <c r="N23" s="213">
        <v>3071.2590909090909</v>
      </c>
      <c r="O23" s="213">
        <v>3085.9272727272723</v>
      </c>
      <c r="P23" s="214">
        <v>3115.436923076923</v>
      </c>
      <c r="Q23" s="301">
        <v>3381.8380952380953</v>
      </c>
      <c r="R23" s="301">
        <v>3543.3249999999998</v>
      </c>
      <c r="S23" s="301">
        <v>3629.9666666666667</v>
      </c>
      <c r="T23" s="302">
        <v>3517.9741935483876</v>
      </c>
      <c r="U23" s="378"/>
      <c r="V23" s="379">
        <f>+U22/U8</f>
        <v>3224.2818181818179</v>
      </c>
      <c r="W23" s="233"/>
      <c r="X23" s="233"/>
    </row>
    <row r="24" spans="1:24" s="27" customFormat="1" ht="42.75" customHeight="1" x14ac:dyDescent="0.35">
      <c r="A24" s="107"/>
      <c r="B24" s="15" t="s">
        <v>36</v>
      </c>
      <c r="C24" s="86" t="s">
        <v>19</v>
      </c>
      <c r="D24" s="95" t="s">
        <v>16</v>
      </c>
      <c r="E24" s="200">
        <v>60510</v>
      </c>
      <c r="F24" s="201">
        <v>61174.8</v>
      </c>
      <c r="G24" s="200">
        <v>68597.7</v>
      </c>
      <c r="H24" s="202">
        <f>AVERAGE(E24:G24)</f>
        <v>63427.5</v>
      </c>
      <c r="I24" s="201">
        <v>65568.100000000006</v>
      </c>
      <c r="J24" s="201">
        <v>65687.7</v>
      </c>
      <c r="K24" s="201">
        <v>68461.100000000006</v>
      </c>
      <c r="L24" s="202">
        <f>AVERAGE(I24:K24)</f>
        <v>66572.3</v>
      </c>
      <c r="M24" s="201">
        <v>66121.100000000006</v>
      </c>
      <c r="N24" s="201">
        <v>66553.3</v>
      </c>
      <c r="O24" s="201">
        <v>66950.2</v>
      </c>
      <c r="P24" s="202">
        <v>66541.53333333334</v>
      </c>
      <c r="Q24" s="293">
        <v>69970.899999999994</v>
      </c>
      <c r="R24" s="293">
        <v>69871.5</v>
      </c>
      <c r="S24" s="293">
        <v>75145.2</v>
      </c>
      <c r="T24" s="294">
        <v>71662.533333333326</v>
      </c>
      <c r="U24" s="366">
        <f>+S24+R24+Q24+O24+N24+M24+K24+J24+I24+G24+F24+E24</f>
        <v>804611.59999999986</v>
      </c>
      <c r="V24" s="370">
        <f>+U24/12</f>
        <v>67050.96666666666</v>
      </c>
      <c r="W24" s="234"/>
      <c r="X24" s="234"/>
    </row>
    <row r="25" spans="1:24" s="25" customFormat="1" ht="30" customHeight="1" x14ac:dyDescent="0.25">
      <c r="A25" s="108"/>
      <c r="B25" s="9" t="s">
        <v>32</v>
      </c>
      <c r="C25" s="20" t="s">
        <v>21</v>
      </c>
      <c r="D25" s="94"/>
      <c r="E25" s="197">
        <f>E24/E22</f>
        <v>0.98631610689573668</v>
      </c>
      <c r="F25" s="198">
        <f>F24/F22</f>
        <v>0.98829390914936177</v>
      </c>
      <c r="G25" s="197">
        <f>G24/G22</f>
        <v>0.98616306451102786</v>
      </c>
      <c r="H25" s="199">
        <f>SUM(E24:G24)/SUM(E22:G22)</f>
        <v>0.98689584672092767</v>
      </c>
      <c r="I25" s="198">
        <f>I24/I22</f>
        <v>0.98812318969440693</v>
      </c>
      <c r="J25" s="198">
        <f>J24/J22</f>
        <v>0.98561512699860765</v>
      </c>
      <c r="K25" s="198">
        <f>K24/K22</f>
        <v>0.98769797644913426</v>
      </c>
      <c r="L25" s="199">
        <f>SUM(I24:K24)/SUM(I22:K22)</f>
        <v>0.98715131348719154</v>
      </c>
      <c r="M25" s="198">
        <v>0.98621529025897425</v>
      </c>
      <c r="N25" s="198">
        <v>0.98498690942565759</v>
      </c>
      <c r="O25" s="198">
        <v>0.98615120841827419</v>
      </c>
      <c r="P25" s="199">
        <v>0.9857839423930661</v>
      </c>
      <c r="Q25" s="291">
        <v>0.98524752670427163</v>
      </c>
      <c r="R25" s="346">
        <v>0.9859595154268942</v>
      </c>
      <c r="S25" s="291">
        <v>0.98577843427658385</v>
      </c>
      <c r="T25" s="292">
        <v>0.98566182546924985</v>
      </c>
      <c r="U25" s="380" t="s">
        <v>11</v>
      </c>
      <c r="V25" s="381">
        <f>+U24/U22</f>
        <v>0.9863539179543368</v>
      </c>
      <c r="W25" s="235"/>
      <c r="X25" s="236"/>
    </row>
    <row r="26" spans="1:24" s="27" customFormat="1" ht="37.5" customHeight="1" x14ac:dyDescent="0.35">
      <c r="A26" s="107"/>
      <c r="B26" s="15" t="s">
        <v>36</v>
      </c>
      <c r="C26" s="87" t="s">
        <v>19</v>
      </c>
      <c r="D26" s="95" t="s">
        <v>16</v>
      </c>
      <c r="E26" s="200">
        <v>839.5</v>
      </c>
      <c r="F26" s="201">
        <v>724.5</v>
      </c>
      <c r="G26" s="200">
        <v>962.5</v>
      </c>
      <c r="H26" s="202">
        <f>AVERAGE(E26:G26)</f>
        <v>842.16666666666663</v>
      </c>
      <c r="I26" s="201">
        <v>788.1</v>
      </c>
      <c r="J26" s="201">
        <v>958.8</v>
      </c>
      <c r="K26" s="201">
        <v>852.7</v>
      </c>
      <c r="L26" s="202">
        <f>AVERAGE(I26:K26)</f>
        <v>866.53333333333342</v>
      </c>
      <c r="M26" s="201">
        <v>924.2</v>
      </c>
      <c r="N26" s="201">
        <v>1014.4</v>
      </c>
      <c r="O26" s="201">
        <v>940.2</v>
      </c>
      <c r="P26" s="202">
        <v>959.6</v>
      </c>
      <c r="Q26" s="293">
        <v>1047.7</v>
      </c>
      <c r="R26" s="293">
        <v>995</v>
      </c>
      <c r="S26" s="293">
        <v>1084.0999999999999</v>
      </c>
      <c r="T26" s="294">
        <v>1042.2666666666667</v>
      </c>
      <c r="U26" s="366">
        <f>+S26+R26+Q26+O26+N26+M26+K26+J26+I26+G26+F26+E26</f>
        <v>11131.699999999999</v>
      </c>
      <c r="V26" s="382">
        <f>+U26/12</f>
        <v>927.64166666666654</v>
      </c>
      <c r="W26" s="234"/>
      <c r="X26" s="234"/>
    </row>
    <row r="27" spans="1:24" s="25" customFormat="1" ht="30" customHeight="1" thickBot="1" x14ac:dyDescent="0.3">
      <c r="A27" s="109"/>
      <c r="B27" s="32" t="s">
        <v>31</v>
      </c>
      <c r="C27" s="33" t="s">
        <v>21</v>
      </c>
      <c r="D27" s="96"/>
      <c r="E27" s="203">
        <f>E26/E22</f>
        <v>1.3683893104263278E-2</v>
      </c>
      <c r="F27" s="204">
        <f>F26/F22</f>
        <v>1.1704475326093628E-2</v>
      </c>
      <c r="G27" s="203">
        <f>G26/G22</f>
        <v>1.3836935488972142E-2</v>
      </c>
      <c r="H27" s="205">
        <f>SUM(E26:G26)/SUM(E22:G22)</f>
        <v>1.3103634631352981E-2</v>
      </c>
      <c r="I27" s="204">
        <f>I26/I22</f>
        <v>1.1876810305593148E-2</v>
      </c>
      <c r="J27" s="204">
        <f>J26/J22</f>
        <v>1.438637345753109E-2</v>
      </c>
      <c r="K27" s="204">
        <f>K26/K22</f>
        <v>1.2302023550865774E-2</v>
      </c>
      <c r="L27" s="205">
        <f>SUM(I26:K26)/SUM(I22:K22)</f>
        <v>1.2849180788112089E-2</v>
      </c>
      <c r="M27" s="204">
        <v>1.3784709741025844E-2</v>
      </c>
      <c r="N27" s="204">
        <v>1.5013090574342474E-2</v>
      </c>
      <c r="O27" s="204">
        <v>1.3848791581725842E-2</v>
      </c>
      <c r="P27" s="205">
        <v>1.4216057606934007E-2</v>
      </c>
      <c r="Q27" s="295">
        <v>1.4752473295728161E-2</v>
      </c>
      <c r="R27" s="347">
        <v>1.404048457310577E-2</v>
      </c>
      <c r="S27" s="347">
        <v>1.422156572341606E-2</v>
      </c>
      <c r="T27" s="296">
        <v>1.4338174530749996E-2</v>
      </c>
      <c r="U27" s="383" t="s">
        <v>11</v>
      </c>
      <c r="V27" s="384">
        <f>+U26/U22</f>
        <v>1.3646082045663139E-2</v>
      </c>
      <c r="W27" s="235"/>
      <c r="X27" s="235"/>
    </row>
    <row r="28" spans="1:24" ht="30" customHeight="1" thickTop="1" x14ac:dyDescent="0.25">
      <c r="A28" s="104" t="s">
        <v>33</v>
      </c>
      <c r="B28" s="113" t="s">
        <v>34</v>
      </c>
      <c r="C28" s="177" t="s">
        <v>18</v>
      </c>
      <c r="D28" s="97"/>
      <c r="E28" s="215">
        <v>1551</v>
      </c>
      <c r="F28" s="216">
        <v>1549</v>
      </c>
      <c r="G28" s="215">
        <v>1556</v>
      </c>
      <c r="H28" s="217">
        <f>AVERAGE(E28:G28)</f>
        <v>1552</v>
      </c>
      <c r="I28" s="216">
        <v>1539</v>
      </c>
      <c r="J28" s="216">
        <v>1527</v>
      </c>
      <c r="K28" s="216">
        <v>1514</v>
      </c>
      <c r="L28" s="217">
        <f>AVERAGE(I28:K28)</f>
        <v>1526.6666666666667</v>
      </c>
      <c r="M28" s="216">
        <v>1511</v>
      </c>
      <c r="N28" s="216">
        <v>1511</v>
      </c>
      <c r="O28" s="216">
        <v>1513</v>
      </c>
      <c r="P28" s="217">
        <v>1511.6666666666667</v>
      </c>
      <c r="Q28" s="303">
        <v>1513</v>
      </c>
      <c r="R28" s="303">
        <v>1512</v>
      </c>
      <c r="S28" s="303">
        <v>1513</v>
      </c>
      <c r="T28" s="304">
        <v>1512.6666666666667</v>
      </c>
      <c r="U28" s="385" t="s">
        <v>11</v>
      </c>
      <c r="V28" s="386">
        <f>AVERAGE(E28:G28,I28:K28,M28:O28,Q28:S28)</f>
        <v>1525.75</v>
      </c>
      <c r="W28" s="233"/>
      <c r="X28" s="233"/>
    </row>
    <row r="29" spans="1:24" ht="30" customHeight="1" x14ac:dyDescent="0.25">
      <c r="A29" s="110"/>
      <c r="B29" s="11"/>
      <c r="C29" s="119" t="s">
        <v>19</v>
      </c>
      <c r="D29" s="120" t="s">
        <v>16</v>
      </c>
      <c r="E29" s="218">
        <v>61349.5</v>
      </c>
      <c r="F29" s="219">
        <v>61899.4</v>
      </c>
      <c r="G29" s="218">
        <v>69560.2</v>
      </c>
      <c r="H29" s="220">
        <f>AVERAGE(E29:G29)</f>
        <v>64269.69999999999</v>
      </c>
      <c r="I29" s="219">
        <v>66356.2</v>
      </c>
      <c r="J29" s="219">
        <v>66646.399999999994</v>
      </c>
      <c r="K29" s="219">
        <v>69313.8</v>
      </c>
      <c r="L29" s="220">
        <f>AVERAGE(I29:K29)</f>
        <v>67438.799999999988</v>
      </c>
      <c r="M29" s="219">
        <v>67045.3</v>
      </c>
      <c r="N29" s="219">
        <v>67567.7</v>
      </c>
      <c r="O29" s="219">
        <v>67890.399999999994</v>
      </c>
      <c r="P29" s="220">
        <v>67501.133333333331</v>
      </c>
      <c r="Q29" s="305">
        <v>71018.600000000006</v>
      </c>
      <c r="R29" s="305">
        <v>70866.5</v>
      </c>
      <c r="S29" s="305">
        <v>76229.3</v>
      </c>
      <c r="T29" s="306">
        <v>72704.800000000003</v>
      </c>
      <c r="U29" s="387">
        <f>+S29+R29+Q29+O29+N29+M29+K29+J29+I29+G29+F29+E29</f>
        <v>815743.29999999993</v>
      </c>
      <c r="V29" s="388">
        <f>+U29/12</f>
        <v>67978.608333333323</v>
      </c>
      <c r="W29" s="233"/>
      <c r="X29" s="233"/>
    </row>
    <row r="30" spans="1:24" ht="30" customHeight="1" x14ac:dyDescent="0.25">
      <c r="A30" s="110"/>
      <c r="B30" s="11"/>
      <c r="C30" s="2" t="s">
        <v>20</v>
      </c>
      <c r="D30" s="100" t="s">
        <v>16</v>
      </c>
      <c r="E30" s="221">
        <f>E29/E8</f>
        <v>2921.4047619047619</v>
      </c>
      <c r="F30" s="222">
        <f>F29/F8</f>
        <v>3094.9700000000003</v>
      </c>
      <c r="G30" s="221">
        <f>G29/G8</f>
        <v>3161.8272727272724</v>
      </c>
      <c r="H30" s="223">
        <f>SUM(E29:G29)/SUM(E8:G8)</f>
        <v>3060.4619047619044</v>
      </c>
      <c r="I30" s="222">
        <f>I29/I8</f>
        <v>3159.8190476190475</v>
      </c>
      <c r="J30" s="222">
        <f>J29/J8</f>
        <v>3332.3199999999997</v>
      </c>
      <c r="K30" s="222">
        <f>K29/K8</f>
        <v>3150.6272727272731</v>
      </c>
      <c r="L30" s="223">
        <f>SUM(I29:K29)/SUM(I8:K8)</f>
        <v>3211.3714285714282</v>
      </c>
      <c r="M30" s="222">
        <v>3192.6333333333337</v>
      </c>
      <c r="N30" s="222">
        <v>3071.2590909090909</v>
      </c>
      <c r="O30" s="222">
        <v>3085.9272727272723</v>
      </c>
      <c r="P30" s="223">
        <v>3115.436923076923</v>
      </c>
      <c r="Q30" s="307">
        <v>3381.8380952380949</v>
      </c>
      <c r="R30" s="307">
        <v>3543.3249999999998</v>
      </c>
      <c r="S30" s="307">
        <v>3629.9666666666667</v>
      </c>
      <c r="T30" s="308">
        <v>3517.9741935483867</v>
      </c>
      <c r="U30" s="389" t="s">
        <v>25</v>
      </c>
      <c r="V30" s="390">
        <f>U29/U8</f>
        <v>3224.2818181818179</v>
      </c>
      <c r="W30" s="233"/>
      <c r="X30" s="233"/>
    </row>
    <row r="31" spans="1:24" ht="30" customHeight="1" x14ac:dyDescent="0.25">
      <c r="A31" s="110"/>
      <c r="B31" s="11"/>
      <c r="C31" s="2" t="s">
        <v>22</v>
      </c>
      <c r="D31" s="100" t="s">
        <v>23</v>
      </c>
      <c r="E31" s="221">
        <f>E32/E29</f>
        <v>2.5952354949918091</v>
      </c>
      <c r="F31" s="210">
        <f>F32/F29</f>
        <v>2.4411383632151522</v>
      </c>
      <c r="G31" s="221">
        <f>G32/G29</f>
        <v>2.4196365162837368</v>
      </c>
      <c r="H31" s="223">
        <f>AVERAGE(E31:G31)</f>
        <v>2.4853367914968989</v>
      </c>
      <c r="I31" s="222">
        <f>I32/I29</f>
        <v>2.4999698596363267</v>
      </c>
      <c r="J31" s="222">
        <f>J32/J29</f>
        <v>2.5066785302732035</v>
      </c>
      <c r="K31" s="222">
        <f>K32/K29</f>
        <v>2.5176328523324361</v>
      </c>
      <c r="L31" s="223">
        <f>SUM(I32:K32)/SUM(I29:K29)</f>
        <v>2.5082311666281134</v>
      </c>
      <c r="M31" s="222">
        <v>2.543689117656271</v>
      </c>
      <c r="N31" s="222">
        <v>2.6347722358464178</v>
      </c>
      <c r="O31" s="222">
        <v>2.643323651061122</v>
      </c>
      <c r="P31" s="223">
        <v>2.6074831336165216</v>
      </c>
      <c r="Q31" s="307">
        <v>2.5678850329350342</v>
      </c>
      <c r="R31" s="307">
        <v>2.6175301447087129</v>
      </c>
      <c r="S31" s="307">
        <v>2.7208107643648831</v>
      </c>
      <c r="T31" s="308">
        <v>2.6374613505573228</v>
      </c>
      <c r="U31" s="378" t="s">
        <v>11</v>
      </c>
      <c r="V31" s="390">
        <f>+U29/U22</f>
        <v>1</v>
      </c>
      <c r="W31" s="233"/>
      <c r="X31" s="233"/>
    </row>
    <row r="32" spans="1:24" ht="30" customHeight="1" x14ac:dyDescent="0.25">
      <c r="A32" s="110"/>
      <c r="B32" s="11"/>
      <c r="C32" s="124" t="s">
        <v>26</v>
      </c>
      <c r="D32" s="125" t="s">
        <v>9</v>
      </c>
      <c r="E32" s="230">
        <v>159216.4</v>
      </c>
      <c r="F32" s="231">
        <v>151105</v>
      </c>
      <c r="G32" s="230">
        <v>168310.39999999999</v>
      </c>
      <c r="H32" s="232">
        <f>AVERAGE(E32:G32)</f>
        <v>159543.93333333335</v>
      </c>
      <c r="I32" s="231">
        <v>165888.5</v>
      </c>
      <c r="J32" s="231">
        <v>167061.1</v>
      </c>
      <c r="K32" s="231">
        <v>174506.7</v>
      </c>
      <c r="L32" s="232">
        <f>AVERAGE(I32:K32)</f>
        <v>169152.1</v>
      </c>
      <c r="M32" s="231">
        <v>170542.4</v>
      </c>
      <c r="N32" s="231">
        <v>178025.5</v>
      </c>
      <c r="O32" s="231">
        <v>179456.3</v>
      </c>
      <c r="P32" s="232">
        <v>176008.06666666665</v>
      </c>
      <c r="Q32" s="315">
        <v>182367.6</v>
      </c>
      <c r="R32" s="315">
        <v>185495.2</v>
      </c>
      <c r="S32" s="315">
        <v>207405.5</v>
      </c>
      <c r="T32" s="316">
        <v>191756.1</v>
      </c>
      <c r="U32" s="387" t="s">
        <v>11</v>
      </c>
      <c r="V32" s="391">
        <f>AVERAGE(E32:G32,I32:K32,M32:O32,Q32:S32)</f>
        <v>174115.05000000002</v>
      </c>
      <c r="W32" s="233"/>
      <c r="X32" s="233"/>
    </row>
    <row r="33" spans="1:24" ht="33" customHeight="1" thickBot="1" x14ac:dyDescent="0.3">
      <c r="A33" s="111"/>
      <c r="B33" s="13"/>
      <c r="C33" s="341" t="s">
        <v>20</v>
      </c>
      <c r="D33" s="101" t="s">
        <v>9</v>
      </c>
      <c r="E33" s="342">
        <f>E32/E8</f>
        <v>7581.7333333333327</v>
      </c>
      <c r="F33" s="343">
        <f>F32/F8</f>
        <v>7555.25</v>
      </c>
      <c r="G33" s="342">
        <f>G32/G8</f>
        <v>7650.4727272727268</v>
      </c>
      <c r="H33" s="344">
        <f>SUM(E32:G32)/SUM(E8:G8)</f>
        <v>7597.3301587301594</v>
      </c>
      <c r="I33" s="343">
        <f>I32/I8</f>
        <v>7899.4523809523807</v>
      </c>
      <c r="J33" s="343">
        <f>J32/J8</f>
        <v>8353.0550000000003</v>
      </c>
      <c r="K33" s="343">
        <f>K32/K8</f>
        <v>7932.1227272727274</v>
      </c>
      <c r="L33" s="344">
        <f>SUM(I32:K32)/SUM(I8:K8)</f>
        <v>8054.861904761905</v>
      </c>
      <c r="M33" s="343">
        <v>8121.0666666666666</v>
      </c>
      <c r="N33" s="343">
        <v>8092.068181818182</v>
      </c>
      <c r="O33" s="343">
        <v>8157.1045454545447</v>
      </c>
      <c r="P33" s="344">
        <v>8123.4492307692299</v>
      </c>
      <c r="Q33" s="348">
        <v>8684.1714285714297</v>
      </c>
      <c r="R33" s="348">
        <v>9274.76</v>
      </c>
      <c r="S33" s="348">
        <v>9876.4523809523816</v>
      </c>
      <c r="T33" s="349">
        <v>9278.5209677419371</v>
      </c>
      <c r="U33" s="392">
        <f>+S33+R33+Q33+O33+N33+M33+K33+J33+I33+G33+F33+E33</f>
        <v>99177.709372294383</v>
      </c>
      <c r="V33" s="393">
        <f>+U33/12</f>
        <v>8264.8091143578658</v>
      </c>
      <c r="W33" s="233"/>
      <c r="X33" s="233"/>
    </row>
    <row r="34" spans="1:24" s="135" customFormat="1" ht="30" customHeight="1" thickTop="1" x14ac:dyDescent="0.25">
      <c r="A34" s="325"/>
      <c r="B34" s="119"/>
      <c r="C34" s="2"/>
      <c r="D34" s="326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50"/>
      <c r="R34" s="350"/>
      <c r="S34" s="350"/>
      <c r="T34" s="350"/>
      <c r="U34" s="328"/>
      <c r="V34" s="329"/>
      <c r="W34" s="330"/>
      <c r="X34" s="330"/>
    </row>
    <row r="35" spans="1:24" s="135" customFormat="1" ht="30" customHeight="1" x14ac:dyDescent="0.25">
      <c r="A35" s="325"/>
      <c r="B35" s="331"/>
      <c r="C35" s="119"/>
      <c r="D35" s="332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1"/>
      <c r="R35" s="351"/>
      <c r="S35" s="351"/>
      <c r="T35" s="351"/>
      <c r="U35" s="334"/>
      <c r="V35" s="334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2"/>
      <c r="R36" s="352"/>
      <c r="S36" s="352"/>
      <c r="T36" s="352"/>
      <c r="U36" s="335"/>
      <c r="V36" s="336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53"/>
      <c r="R37" s="354"/>
      <c r="S37" s="354"/>
      <c r="T37" s="353"/>
      <c r="U37" s="335"/>
      <c r="V37" s="337"/>
      <c r="W37" s="330"/>
      <c r="X37" s="330"/>
    </row>
    <row r="38" spans="1:24" s="135" customFormat="1" ht="30" customHeight="1" x14ac:dyDescent="0.25">
      <c r="A38" s="325"/>
      <c r="B38" s="331"/>
      <c r="C38" s="2"/>
      <c r="D38" s="326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5"/>
      <c r="R38" s="352"/>
      <c r="S38" s="352"/>
      <c r="T38" s="355"/>
      <c r="U38" s="335"/>
      <c r="V38" s="336"/>
      <c r="W38" s="330"/>
      <c r="X38" s="330"/>
    </row>
    <row r="39" spans="1:24" s="135" customFormat="1" ht="30" customHeight="1" x14ac:dyDescent="0.25">
      <c r="A39" s="325"/>
      <c r="B39" s="331"/>
      <c r="C39" s="119"/>
      <c r="D39" s="332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1"/>
      <c r="R39" s="351"/>
      <c r="S39" s="351"/>
      <c r="T39" s="351"/>
      <c r="U39" s="334"/>
      <c r="V39" s="334"/>
      <c r="W39" s="330"/>
      <c r="X39" s="330"/>
    </row>
    <row r="40" spans="1:24" s="135" customFormat="1" ht="30" customHeight="1" x14ac:dyDescent="0.25">
      <c r="A40" s="325"/>
      <c r="B40" s="331"/>
      <c r="C40" s="2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2"/>
      <c r="R40" s="352"/>
      <c r="S40" s="352"/>
      <c r="T40" s="352"/>
      <c r="U40" s="335"/>
      <c r="V40" s="336"/>
      <c r="W40" s="330"/>
      <c r="X40" s="330"/>
    </row>
    <row r="41" spans="1:24" s="135" customFormat="1" ht="30" customHeight="1" x14ac:dyDescent="0.25">
      <c r="A41" s="325"/>
      <c r="B41" s="331"/>
      <c r="C41" s="338"/>
      <c r="D41" s="326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53"/>
      <c r="R41" s="354"/>
      <c r="S41" s="354"/>
      <c r="T41" s="353"/>
      <c r="U41" s="335"/>
      <c r="V41" s="337"/>
      <c r="W41" s="330"/>
      <c r="X41" s="330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s="135" customFormat="1" x14ac:dyDescent="0.25">
      <c r="E43" s="339"/>
      <c r="F43" s="339"/>
      <c r="G43" s="339"/>
      <c r="H43" s="339"/>
      <c r="I43" s="340"/>
      <c r="J43" s="340"/>
      <c r="K43" s="340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239"/>
      <c r="J364" s="239"/>
      <c r="K364" s="239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  <row r="2058" spans="5:22" x14ac:dyDescent="0.25">
      <c r="E2058" s="183"/>
      <c r="F2058" s="183"/>
      <c r="G2058" s="183"/>
      <c r="H2058" s="183"/>
      <c r="I2058" s="183"/>
      <c r="J2058" s="183"/>
      <c r="K2058" s="183"/>
      <c r="L2058" s="183"/>
      <c r="M2058" s="183"/>
      <c r="N2058" s="183"/>
      <c r="O2058" s="183"/>
      <c r="P2058" s="183"/>
      <c r="Q2058" s="183"/>
      <c r="R2058" s="183"/>
      <c r="S2058" s="183"/>
      <c r="T2058" s="183"/>
      <c r="U2058" s="183"/>
      <c r="V2058" s="183"/>
    </row>
  </sheetData>
  <mergeCells count="5">
    <mergeCell ref="B14:B15"/>
    <mergeCell ref="B6:C7"/>
    <mergeCell ref="B8:C8"/>
    <mergeCell ref="B9:C9"/>
    <mergeCell ref="B12:B13"/>
  </mergeCells>
  <phoneticPr fontId="16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A4ED0-049B-4BC1-B9F4-0060C9F30C30}">
  <sheetPr>
    <pageSetUpPr fitToPage="1"/>
  </sheetPr>
  <dimension ref="A1:X2057"/>
  <sheetViews>
    <sheetView view="pageBreakPreview" topLeftCell="A5" zoomScale="70" zoomScaleNormal="60" zoomScaleSheetLayoutView="70" workbookViewId="0">
      <pane xSplit="4" ySplit="2" topLeftCell="K16" activePane="bottomRight" state="frozen"/>
      <selection activeCell="C34" sqref="C34"/>
      <selection pane="topRight" activeCell="C34" sqref="C34"/>
      <selection pane="bottomLeft" activeCell="C34" sqref="C34"/>
      <selection pane="bottomRight" activeCell="S28" sqref="S28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0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6.699218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  <c r="K2" s="588"/>
    </row>
    <row r="3" spans="1:24" ht="19.5" customHeight="1" x14ac:dyDescent="0.4">
      <c r="A3" s="958" t="s">
        <v>42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</row>
    <row r="4" spans="1:24" s="134" customFormat="1" ht="24" customHeight="1" x14ac:dyDescent="0.25">
      <c r="A4" s="959" t="s">
        <v>424</v>
      </c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</row>
    <row r="5" spans="1:24" ht="42" customHeight="1" thickBot="1" x14ac:dyDescent="0.45">
      <c r="A5" s="858" t="s">
        <v>1</v>
      </c>
      <c r="B5" s="960" t="s">
        <v>2</v>
      </c>
      <c r="C5" s="961"/>
      <c r="D5" s="859" t="s">
        <v>3</v>
      </c>
      <c r="E5" s="860" t="s">
        <v>425</v>
      </c>
      <c r="F5" s="860" t="s">
        <v>426</v>
      </c>
      <c r="G5" s="860" t="s">
        <v>427</v>
      </c>
      <c r="H5" s="860" t="s">
        <v>428</v>
      </c>
      <c r="I5" s="860" t="s">
        <v>429</v>
      </c>
      <c r="J5" s="860" t="s">
        <v>430</v>
      </c>
      <c r="K5" s="860" t="s">
        <v>431</v>
      </c>
      <c r="L5" s="860" t="s">
        <v>432</v>
      </c>
      <c r="M5" s="860" t="s">
        <v>433</v>
      </c>
      <c r="N5" s="860" t="s">
        <v>434</v>
      </c>
      <c r="O5" s="860" t="s">
        <v>435</v>
      </c>
      <c r="P5" s="860" t="s">
        <v>436</v>
      </c>
      <c r="Q5" s="860" t="s">
        <v>437</v>
      </c>
      <c r="R5" s="860" t="s">
        <v>438</v>
      </c>
      <c r="S5" s="860" t="s">
        <v>439</v>
      </c>
      <c r="T5" s="860" t="s">
        <v>440</v>
      </c>
      <c r="U5" s="861" t="s">
        <v>46</v>
      </c>
      <c r="V5" s="862" t="s">
        <v>58</v>
      </c>
      <c r="W5" s="233"/>
      <c r="X5" s="233"/>
    </row>
    <row r="6" spans="1:24" ht="44.25" customHeight="1" thickTop="1" x14ac:dyDescent="0.35">
      <c r="A6" s="863"/>
      <c r="B6" s="962"/>
      <c r="C6" s="963"/>
      <c r="D6" s="864" t="s">
        <v>4</v>
      </c>
      <c r="E6" s="865"/>
      <c r="F6" s="865"/>
      <c r="G6" s="865"/>
      <c r="H6" s="866" t="s">
        <v>45</v>
      </c>
      <c r="I6" s="867"/>
      <c r="J6" s="867"/>
      <c r="K6" s="867"/>
      <c r="L6" s="866" t="s">
        <v>45</v>
      </c>
      <c r="M6" s="867"/>
      <c r="N6" s="867"/>
      <c r="O6" s="867"/>
      <c r="P6" s="866" t="s">
        <v>45</v>
      </c>
      <c r="Q6" s="867"/>
      <c r="R6" s="867"/>
      <c r="S6" s="867"/>
      <c r="T6" s="866" t="s">
        <v>45</v>
      </c>
      <c r="U6" s="868" t="s">
        <v>53</v>
      </c>
      <c r="V6" s="869" t="s">
        <v>53</v>
      </c>
      <c r="W6" s="233"/>
      <c r="X6" s="233"/>
    </row>
    <row r="7" spans="1:24" ht="30" customHeight="1" x14ac:dyDescent="0.25">
      <c r="A7" s="870" t="s">
        <v>5</v>
      </c>
      <c r="B7" s="964" t="s">
        <v>6</v>
      </c>
      <c r="C7" s="965"/>
      <c r="D7" s="879"/>
      <c r="E7" s="792">
        <v>20</v>
      </c>
      <c r="F7" s="792">
        <v>20</v>
      </c>
      <c r="G7" s="792">
        <v>23</v>
      </c>
      <c r="H7" s="903">
        <f t="shared" ref="H7:H15" si="0">AVERAGE(E7:G7)</f>
        <v>21</v>
      </c>
      <c r="I7" s="326">
        <v>20</v>
      </c>
      <c r="J7" s="326">
        <v>21</v>
      </c>
      <c r="K7" s="326">
        <v>21</v>
      </c>
      <c r="L7" s="903">
        <f>AVERAGE(I7:K7)</f>
        <v>20.666666666666668</v>
      </c>
      <c r="M7" s="326">
        <v>20</v>
      </c>
      <c r="N7" s="326">
        <v>22</v>
      </c>
      <c r="O7" s="326">
        <v>22</v>
      </c>
      <c r="P7" s="903">
        <f>AVERAGE(M7:O7)</f>
        <v>21.333333333333332</v>
      </c>
      <c r="Q7" s="502">
        <v>20</v>
      </c>
      <c r="R7" s="502">
        <v>21</v>
      </c>
      <c r="S7" s="502">
        <v>21</v>
      </c>
      <c r="T7" s="903">
        <f>AVERAGE(Q7:S7)</f>
        <v>20.666666666666668</v>
      </c>
      <c r="U7" s="918">
        <f>SUM(E7:G7,I7:K7,M7:O7,Q7:S7)</f>
        <v>251</v>
      </c>
      <c r="V7" s="919">
        <f>AVERAGE(E7:G7,I7:K7,M7:O7,Q7:S7)</f>
        <v>20.916666666666668</v>
      </c>
      <c r="W7" s="233"/>
      <c r="X7" s="233"/>
    </row>
    <row r="8" spans="1:24" ht="30" customHeight="1" x14ac:dyDescent="0.25">
      <c r="A8" s="871" t="s">
        <v>7</v>
      </c>
      <c r="B8" s="966" t="s">
        <v>40</v>
      </c>
      <c r="C8" s="967"/>
      <c r="D8" s="880"/>
      <c r="E8" s="793">
        <v>40</v>
      </c>
      <c r="F8" s="793">
        <v>40</v>
      </c>
      <c r="G8" s="793">
        <v>40</v>
      </c>
      <c r="H8" s="904">
        <f t="shared" si="0"/>
        <v>40</v>
      </c>
      <c r="I8" s="504">
        <v>40</v>
      </c>
      <c r="J8" s="504">
        <v>40</v>
      </c>
      <c r="K8" s="504">
        <v>40</v>
      </c>
      <c r="L8" s="904">
        <f>AVERAGE(I8:K8)</f>
        <v>40</v>
      </c>
      <c r="M8" s="504">
        <v>41</v>
      </c>
      <c r="N8" s="504">
        <v>41</v>
      </c>
      <c r="O8" s="504">
        <v>40</v>
      </c>
      <c r="P8" s="904">
        <f>AVERAGE(M8:O8)</f>
        <v>40.666666666666664</v>
      </c>
      <c r="Q8" s="505">
        <v>40</v>
      </c>
      <c r="R8" s="505">
        <v>39</v>
      </c>
      <c r="S8" s="505">
        <v>39</v>
      </c>
      <c r="T8" s="904">
        <f>AVERAGE(Q8:S8)</f>
        <v>39.333333333333336</v>
      </c>
      <c r="U8" s="920" t="s">
        <v>11</v>
      </c>
      <c r="V8" s="921">
        <f>AVERAGE(E8:G8,I8:K8,M8:O8,Q8:S8)</f>
        <v>40</v>
      </c>
      <c r="W8" s="233"/>
      <c r="X8" s="233"/>
    </row>
    <row r="9" spans="1:24" ht="33.75" customHeight="1" x14ac:dyDescent="0.35">
      <c r="A9" s="870" t="s">
        <v>12</v>
      </c>
      <c r="B9" s="506" t="s">
        <v>27</v>
      </c>
      <c r="C9" s="891" t="s">
        <v>181</v>
      </c>
      <c r="D9" s="881" t="s">
        <v>9</v>
      </c>
      <c r="E9" s="794">
        <v>273910.99611622997</v>
      </c>
      <c r="F9" s="794">
        <v>264105.21997888002</v>
      </c>
      <c r="G9" s="794">
        <v>313976.11688315996</v>
      </c>
      <c r="H9" s="905">
        <f t="shared" si="0"/>
        <v>283997.44432608999</v>
      </c>
      <c r="I9" s="808">
        <v>302262.23148607998</v>
      </c>
      <c r="J9" s="813">
        <v>308923.10829094995</v>
      </c>
      <c r="K9" s="813">
        <v>311125.67208209995</v>
      </c>
      <c r="L9" s="905">
        <f>AVERAGE(I9:K9)</f>
        <v>307437.00395304331</v>
      </c>
      <c r="M9" s="794">
        <v>309950.52668832999</v>
      </c>
      <c r="N9" s="794">
        <v>316435.52852946002</v>
      </c>
      <c r="O9" s="794">
        <v>310867.08149284997</v>
      </c>
      <c r="P9" s="905">
        <f>AVERAGE(M9:O9)</f>
        <v>312417.71223687998</v>
      </c>
      <c r="Q9" s="508">
        <v>317707.58022682008</v>
      </c>
      <c r="R9" s="508">
        <v>317693.27235454001</v>
      </c>
      <c r="S9" s="508">
        <v>340167.70549213002</v>
      </c>
      <c r="T9" s="905">
        <f>AVERAGE(Q9:S9)</f>
        <v>325189.51935783005</v>
      </c>
      <c r="U9" s="922">
        <f>SUM(E9:G9,I9:K9,M9:O9,Q9:S9)</f>
        <v>3687125.0396215296</v>
      </c>
      <c r="V9" s="923">
        <f>AVERAGE(E9:G9,I9:K9,M9:O9,Q9:S9)</f>
        <v>307260.4199684608</v>
      </c>
      <c r="W9" s="317"/>
      <c r="X9" s="233"/>
    </row>
    <row r="10" spans="1:24" ht="30" customHeight="1" x14ac:dyDescent="0.35">
      <c r="A10" s="870"/>
      <c r="B10" s="509" t="s">
        <v>28</v>
      </c>
      <c r="C10" s="892" t="s">
        <v>10</v>
      </c>
      <c r="D10" s="882"/>
      <c r="E10" s="795">
        <f>E9/E15</f>
        <v>0.48245491047932565</v>
      </c>
      <c r="F10" s="795">
        <f t="shared" ref="F10:G10" si="1">F9/F15</f>
        <v>0.47396001142486349</v>
      </c>
      <c r="G10" s="795">
        <f t="shared" si="1"/>
        <v>0.46811736593642367</v>
      </c>
      <c r="H10" s="906">
        <f t="shared" si="0"/>
        <v>0.47484409594687094</v>
      </c>
      <c r="I10" s="513">
        <f>I9/I15</f>
        <v>0.46333246696579777</v>
      </c>
      <c r="J10" s="513">
        <f>J9/J15</f>
        <v>0.4648080446712623</v>
      </c>
      <c r="K10" s="513">
        <f>K9/K15</f>
        <v>0.4642851109122062</v>
      </c>
      <c r="L10" s="906">
        <f>SUM(I9:K9)/SUM(I15:K15)</f>
        <v>0.46414726370838394</v>
      </c>
      <c r="M10" s="513">
        <f>M9/M15</f>
        <v>0.47459800467974644</v>
      </c>
      <c r="N10" s="513">
        <f>N9/N15</f>
        <v>0.47135367022690083</v>
      </c>
      <c r="O10" s="513">
        <f>O9/O15</f>
        <v>0.46818315457040055</v>
      </c>
      <c r="P10" s="906">
        <f>SUM(M9:O9)/SUM(M15:O15)</f>
        <v>0.47136052609847851</v>
      </c>
      <c r="Q10" s="513">
        <f>Q9/Q15</f>
        <v>0.46140441817546207</v>
      </c>
      <c r="R10" s="513">
        <f>R9/R15</f>
        <v>0.46719681167171973</v>
      </c>
      <c r="S10" s="513">
        <f>S9/S15</f>
        <v>0.47021098109325871</v>
      </c>
      <c r="T10" s="906">
        <f>SUM(Q9:S9)/SUM(Q15:S15)</f>
        <v>0.46633262115156937</v>
      </c>
      <c r="U10" s="924" t="s">
        <v>11</v>
      </c>
      <c r="V10" s="925">
        <f>U9/U15</f>
        <v>0.46890861409959667</v>
      </c>
      <c r="W10" s="448"/>
      <c r="X10" s="402"/>
    </row>
    <row r="11" spans="1:24" ht="33" customHeight="1" x14ac:dyDescent="0.35">
      <c r="A11" s="871"/>
      <c r="B11" s="968" t="s">
        <v>29</v>
      </c>
      <c r="C11" s="893" t="s">
        <v>181</v>
      </c>
      <c r="D11" s="883" t="s">
        <v>9</v>
      </c>
      <c r="E11" s="796">
        <v>170198.25071949998</v>
      </c>
      <c r="F11" s="796">
        <v>171110.12650639997</v>
      </c>
      <c r="G11" s="796">
        <v>206440.60988985002</v>
      </c>
      <c r="H11" s="907">
        <f t="shared" si="0"/>
        <v>182582.99570524998</v>
      </c>
      <c r="I11" s="809">
        <v>196815.88832845999</v>
      </c>
      <c r="J11" s="814">
        <v>203341.92502433993</v>
      </c>
      <c r="K11" s="814">
        <v>204472.02077637997</v>
      </c>
      <c r="L11" s="907">
        <f>AVERAGE(I11:K11)</f>
        <v>201543.27804305995</v>
      </c>
      <c r="M11" s="636">
        <v>197316.31397721998</v>
      </c>
      <c r="N11" s="838">
        <v>205182.37628737005</v>
      </c>
      <c r="O11" s="838">
        <v>203639.53198637997</v>
      </c>
      <c r="P11" s="907">
        <f>AVERAGE(M11:O11)</f>
        <v>202046.07408365665</v>
      </c>
      <c r="Q11" s="495">
        <v>212919.75223729</v>
      </c>
      <c r="R11" s="495">
        <v>205917.72284821002</v>
      </c>
      <c r="S11" s="495">
        <v>225146.42789570999</v>
      </c>
      <c r="T11" s="907">
        <f>AVERAGE(Q11:S11)</f>
        <v>214661.30099373669</v>
      </c>
      <c r="U11" s="926">
        <f>SUM(E11:G11,I11:K11,M11:O11,Q11:S11)</f>
        <v>2402500.9464771096</v>
      </c>
      <c r="V11" s="927">
        <f>AVERAGE(E11:G11,I11:K11,M11:O11,Q11:S11)</f>
        <v>200208.4122064258</v>
      </c>
      <c r="W11" s="402"/>
      <c r="X11" s="233"/>
    </row>
    <row r="12" spans="1:24" ht="30" customHeight="1" x14ac:dyDescent="0.25">
      <c r="A12" s="871"/>
      <c r="B12" s="968"/>
      <c r="C12" s="894" t="s">
        <v>10</v>
      </c>
      <c r="D12" s="884"/>
      <c r="E12" s="797">
        <f>E11/E15</f>
        <v>0.29977979335948524</v>
      </c>
      <c r="F12" s="797">
        <f t="shared" ref="F12:G12" si="2">F11/F15</f>
        <v>0.30707214920011244</v>
      </c>
      <c r="G12" s="797">
        <f t="shared" si="2"/>
        <v>0.30778912575668138</v>
      </c>
      <c r="H12" s="908">
        <f t="shared" si="0"/>
        <v>0.30488035610542635</v>
      </c>
      <c r="I12" s="519">
        <f>I11/I15</f>
        <v>0.30169561916137028</v>
      </c>
      <c r="J12" s="519">
        <f>J11/J15</f>
        <v>0.30594979797120836</v>
      </c>
      <c r="K12" s="519">
        <f>K11/K15</f>
        <v>0.30512851674789943</v>
      </c>
      <c r="L12" s="908">
        <f>SUM(I11:K11)/SUM(I15:K15)</f>
        <v>0.304276192584781</v>
      </c>
      <c r="M12" s="519">
        <f>M11/M15</f>
        <v>0.30213185925157793</v>
      </c>
      <c r="N12" s="519">
        <f t="shared" ref="N12:O12" si="3">N11/N15</f>
        <v>0.30563403097741887</v>
      </c>
      <c r="O12" s="519">
        <f t="shared" si="3"/>
        <v>0.30669248742188299</v>
      </c>
      <c r="P12" s="908">
        <f>SUM(M11:O11)/SUM(M15:O15)</f>
        <v>0.30483721007467957</v>
      </c>
      <c r="Q12" s="519">
        <f>Q11/Q15</f>
        <v>0.30922181437714708</v>
      </c>
      <c r="R12" s="519">
        <f>R11/R15</f>
        <v>0.3028207140440245</v>
      </c>
      <c r="S12" s="519">
        <f>S11/S15</f>
        <v>0.31121802875826998</v>
      </c>
      <c r="T12" s="908">
        <f>SUM(Q11:S11)/SUM(Q15:S15)</f>
        <v>0.30783146809249978</v>
      </c>
      <c r="U12" s="928" t="s">
        <v>11</v>
      </c>
      <c r="V12" s="929">
        <f>U11/U15</f>
        <v>0.30553707213064502</v>
      </c>
      <c r="W12" s="402"/>
      <c r="X12" s="233"/>
    </row>
    <row r="13" spans="1:24" ht="33" customHeight="1" x14ac:dyDescent="0.35">
      <c r="A13" s="870"/>
      <c r="B13" s="956" t="s">
        <v>30</v>
      </c>
      <c r="C13" s="891" t="s">
        <v>181</v>
      </c>
      <c r="D13" s="881" t="s">
        <v>9</v>
      </c>
      <c r="E13" s="794">
        <v>122074.00127932998</v>
      </c>
      <c r="F13" s="794">
        <v>120524.09923551</v>
      </c>
      <c r="G13" s="794">
        <v>148507.89220377</v>
      </c>
      <c r="H13" s="905">
        <f t="shared" si="0"/>
        <v>130368.66423953667</v>
      </c>
      <c r="I13" s="808">
        <v>151462.76114073003</v>
      </c>
      <c r="J13" s="813">
        <v>150293.27404919997</v>
      </c>
      <c r="K13" s="813">
        <v>152468.11357598001</v>
      </c>
      <c r="L13" s="905">
        <f>AVERAGE(I13:K13)</f>
        <v>151408.04958863667</v>
      </c>
      <c r="M13" s="794">
        <v>143744.55016914001</v>
      </c>
      <c r="N13" s="800">
        <v>147511.27691275001</v>
      </c>
      <c r="O13" s="800">
        <v>147654.57693389</v>
      </c>
      <c r="P13" s="905">
        <f>AVERAGE(M13:O13)</f>
        <v>146303.46800526002</v>
      </c>
      <c r="Q13" s="508">
        <v>156152.25267667999</v>
      </c>
      <c r="R13" s="508">
        <v>154580.71786861002</v>
      </c>
      <c r="S13" s="508">
        <v>156282.07004756999</v>
      </c>
      <c r="T13" s="905">
        <f>AVERAGE(Q13:S13)</f>
        <v>155671.68019762001</v>
      </c>
      <c r="U13" s="922">
        <f>SUM(E13:G13,I13:K13,M13:O13,Q13:S13)</f>
        <v>1751255.5860931599</v>
      </c>
      <c r="V13" s="923">
        <f>AVERAGE(E13:G13,I13:K13,M13:O13,Q13:S13)</f>
        <v>145937.96550776332</v>
      </c>
      <c r="W13" s="402"/>
      <c r="X13" s="233"/>
    </row>
    <row r="14" spans="1:24" ht="30" customHeight="1" x14ac:dyDescent="0.25">
      <c r="A14" s="870"/>
      <c r="B14" s="956"/>
      <c r="C14" s="895" t="s">
        <v>10</v>
      </c>
      <c r="D14" s="885"/>
      <c r="E14" s="795">
        <f>E13/E15</f>
        <v>0.21501583431897325</v>
      </c>
      <c r="F14" s="795">
        <f t="shared" ref="F14:G14" si="4">F13/F15</f>
        <v>0.21629108071094455</v>
      </c>
      <c r="G14" s="795">
        <f t="shared" si="4"/>
        <v>0.22141532295295357</v>
      </c>
      <c r="H14" s="906">
        <f t="shared" si="0"/>
        <v>0.21757407932762382</v>
      </c>
      <c r="I14" s="521">
        <f>I13/I15</f>
        <v>0.23217460688937475</v>
      </c>
      <c r="J14" s="521">
        <f>J13/J15</f>
        <v>0.22613239658412862</v>
      </c>
      <c r="K14" s="521">
        <f>K13/K15</f>
        <v>0.22752437800606501</v>
      </c>
      <c r="L14" s="906">
        <f>SUM(I13:K13)/SUM(I15:K15)</f>
        <v>0.22858546959663525</v>
      </c>
      <c r="M14" s="521">
        <f>M13/M15</f>
        <v>0.22010247061932209</v>
      </c>
      <c r="N14" s="521">
        <f t="shared" ref="N14:O14" si="5">N13/N15</f>
        <v>0.21972874568099646</v>
      </c>
      <c r="O14" s="521">
        <f t="shared" si="5"/>
        <v>0.22237602413125404</v>
      </c>
      <c r="P14" s="906">
        <f>SUM(M13:O13)/SUM(M15:O15)</f>
        <v>0.22073549913425988</v>
      </c>
      <c r="Q14" s="513">
        <f>Q13/Q15</f>
        <v>0.22677878583077332</v>
      </c>
      <c r="R14" s="513">
        <f>R13/R15</f>
        <v>0.22732498550848892</v>
      </c>
      <c r="S14" s="513">
        <f>S13/S15</f>
        <v>0.21602740147845514</v>
      </c>
      <c r="T14" s="906">
        <f>SUM(Q13:S13)/SUM(Q15:S15)</f>
        <v>0.22323838360160553</v>
      </c>
      <c r="U14" s="930" t="s">
        <v>11</v>
      </c>
      <c r="V14" s="931">
        <f>U13/U15</f>
        <v>0.22271521062746805</v>
      </c>
      <c r="W14" s="233"/>
      <c r="X14" s="233"/>
    </row>
    <row r="15" spans="1:24" ht="33" customHeight="1" x14ac:dyDescent="0.25">
      <c r="A15" s="871" t="s">
        <v>17</v>
      </c>
      <c r="B15" s="522" t="s">
        <v>13</v>
      </c>
      <c r="C15" s="896" t="s">
        <v>8</v>
      </c>
      <c r="D15" s="886" t="s">
        <v>9</v>
      </c>
      <c r="E15" s="798">
        <f>E17+E19</f>
        <v>567744.23923697986</v>
      </c>
      <c r="F15" s="798">
        <f t="shared" ref="F15:G15" si="6">F17+F19</f>
        <v>557231.01867793</v>
      </c>
      <c r="G15" s="798">
        <f t="shared" si="6"/>
        <v>670720.93395869003</v>
      </c>
      <c r="H15" s="909">
        <f t="shared" si="0"/>
        <v>598565.39729119989</v>
      </c>
      <c r="I15" s="524">
        <f>I17+I19</f>
        <v>652365.74821852997</v>
      </c>
      <c r="J15" s="524">
        <f>J17+J19</f>
        <v>664625.13253064989</v>
      </c>
      <c r="K15" s="524">
        <f>K17+K19</f>
        <v>670117.70304417994</v>
      </c>
      <c r="L15" s="909">
        <f>AVERAGE(I15:K15)</f>
        <v>662369.5279311199</v>
      </c>
      <c r="M15" s="524">
        <f>M17+M19</f>
        <v>653080.13019877998</v>
      </c>
      <c r="N15" s="524">
        <f t="shared" ref="N15:O15" si="7">N17+N19</f>
        <v>671333.54106935009</v>
      </c>
      <c r="O15" s="524">
        <f t="shared" si="7"/>
        <v>663986.04575616994</v>
      </c>
      <c r="P15" s="909">
        <f>AVERAGE(M15:O15)</f>
        <v>662799.90567476675</v>
      </c>
      <c r="Q15" s="524">
        <f>Q17+Q19</f>
        <v>688566.40229657013</v>
      </c>
      <c r="R15" s="524">
        <f>R17+R19</f>
        <v>679998.80225588998</v>
      </c>
      <c r="S15" s="524">
        <f>S17+S19</f>
        <v>723436.32788249</v>
      </c>
      <c r="T15" s="909">
        <f>AVERAGE(Q15:S15)</f>
        <v>697333.84414498333</v>
      </c>
      <c r="U15" s="932">
        <f>SUM(E15:G15,I15:K15,M15:O15,Q15:S15)</f>
        <v>7863206.0251262104</v>
      </c>
      <c r="V15" s="932">
        <f>AVERAGE(E15:G15,I15:K15,M15:O15,Q15:S15)</f>
        <v>655267.1687605175</v>
      </c>
      <c r="W15" s="317"/>
      <c r="X15" s="233"/>
    </row>
    <row r="16" spans="1:24" ht="30" customHeight="1" x14ac:dyDescent="0.25">
      <c r="A16" s="871"/>
      <c r="B16" s="525" t="s">
        <v>14</v>
      </c>
      <c r="C16" s="897" t="s">
        <v>15</v>
      </c>
      <c r="D16" s="887" t="s">
        <v>9</v>
      </c>
      <c r="E16" s="799">
        <f>E15/E7</f>
        <v>28387.211961848992</v>
      </c>
      <c r="F16" s="799">
        <f t="shared" ref="F16:G16" si="8">F15/F7</f>
        <v>27861.550933896498</v>
      </c>
      <c r="G16" s="799">
        <f t="shared" si="8"/>
        <v>29161.779737334349</v>
      </c>
      <c r="H16" s="910">
        <f>SUM(E15:G15)/SUM(E7:G7)</f>
        <v>28503.114156723805</v>
      </c>
      <c r="I16" s="496">
        <f>I15/I7</f>
        <v>32618.287410926499</v>
      </c>
      <c r="J16" s="496">
        <f>J15/J7</f>
        <v>31648.815834792851</v>
      </c>
      <c r="K16" s="496">
        <f>K15/K7</f>
        <v>31910.366811627617</v>
      </c>
      <c r="L16" s="910">
        <f>SUM(I15:K15)/SUM(I7:K7)</f>
        <v>32050.138448279999</v>
      </c>
      <c r="M16" s="496">
        <f>M15/M7</f>
        <v>32654.006509938998</v>
      </c>
      <c r="N16" s="496">
        <f t="shared" ref="N16:O16" si="9">N15/N7</f>
        <v>30515.160957697732</v>
      </c>
      <c r="O16" s="496">
        <f t="shared" si="9"/>
        <v>30181.183898007726</v>
      </c>
      <c r="P16" s="910">
        <f>SUM(M15:O15)/SUM(M7:O7)</f>
        <v>31068.745578504691</v>
      </c>
      <c r="Q16" s="496">
        <f>Q15/Q7</f>
        <v>34428.320114828508</v>
      </c>
      <c r="R16" s="496">
        <f>R15/R7</f>
        <v>32380.895345518569</v>
      </c>
      <c r="S16" s="496">
        <f>S15/S7</f>
        <v>34449.348946785241</v>
      </c>
      <c r="T16" s="910">
        <f>SUM(Q15:S15)/SUM(Q7:S7)</f>
        <v>33741.960200563713</v>
      </c>
      <c r="U16" s="933" t="s">
        <v>11</v>
      </c>
      <c r="V16" s="934">
        <f>U15/U7</f>
        <v>31327.51404432753</v>
      </c>
      <c r="W16" s="233"/>
      <c r="X16" s="233"/>
    </row>
    <row r="17" spans="1:24" s="27" customFormat="1" ht="33" customHeight="1" x14ac:dyDescent="0.35">
      <c r="A17" s="872"/>
      <c r="B17" s="526" t="s">
        <v>36</v>
      </c>
      <c r="C17" s="891" t="s">
        <v>8</v>
      </c>
      <c r="D17" s="881" t="s">
        <v>9</v>
      </c>
      <c r="E17" s="800">
        <f>E9+E11+E13</f>
        <v>566183.24811505992</v>
      </c>
      <c r="F17" s="800">
        <f t="shared" ref="F17:G17" si="10">F9+F11+F13</f>
        <v>555739.44572078995</v>
      </c>
      <c r="G17" s="800">
        <f t="shared" si="10"/>
        <v>668924.61897677998</v>
      </c>
      <c r="H17" s="905">
        <f>AVERAGE(E17:G17)</f>
        <v>596949.10427087662</v>
      </c>
      <c r="I17" s="200">
        <f>I9+I11+I13</f>
        <v>650540.88095527003</v>
      </c>
      <c r="J17" s="200">
        <f>J9+J11+J13</f>
        <v>662558.30736448988</v>
      </c>
      <c r="K17" s="200">
        <f>K9+K11+K13</f>
        <v>668065.80643445998</v>
      </c>
      <c r="L17" s="905">
        <f>AVERAGE(I17:K17)</f>
        <v>660388.33158473996</v>
      </c>
      <c r="M17" s="200">
        <f>M9+M11+M13</f>
        <v>651011.39083468996</v>
      </c>
      <c r="N17" s="200">
        <f t="shared" ref="N17:O17" si="11">N9+N11+N13</f>
        <v>669129.18172958004</v>
      </c>
      <c r="O17" s="200">
        <f t="shared" si="11"/>
        <v>662161.19041311997</v>
      </c>
      <c r="P17" s="905">
        <f>AVERAGE(M17:O17)</f>
        <v>660767.25432579662</v>
      </c>
      <c r="Q17" s="200">
        <f>Q9+Q11+Q13</f>
        <v>686779.58514079009</v>
      </c>
      <c r="R17" s="200">
        <f t="shared" ref="R17:S17" si="12">R9+R11+R13</f>
        <v>678191.71307136002</v>
      </c>
      <c r="S17" s="200">
        <f t="shared" si="12"/>
        <v>721596.20343541005</v>
      </c>
      <c r="T17" s="905">
        <f>AVERAGE(Q17:S17)</f>
        <v>695522.50054918672</v>
      </c>
      <c r="U17" s="923">
        <f>SUM(E17:G17,I17:K17,M17:O17,Q17:S17)</f>
        <v>7840881.5721918</v>
      </c>
      <c r="V17" s="923">
        <f>AVERAGE(E17:G17,I17:K17,M17:O17,Q18,Q18,Q17,Q17:S17)</f>
        <v>568510.87680950842</v>
      </c>
      <c r="W17" s="234"/>
      <c r="X17" s="234"/>
    </row>
    <row r="18" spans="1:24" s="25" customFormat="1" ht="30" customHeight="1" x14ac:dyDescent="0.25">
      <c r="A18" s="873"/>
      <c r="B18" s="527" t="s">
        <v>32</v>
      </c>
      <c r="C18" s="898" t="s">
        <v>10</v>
      </c>
      <c r="D18" s="885"/>
      <c r="E18" s="801">
        <f>E17/E15</f>
        <v>0.99725053815778419</v>
      </c>
      <c r="F18" s="801">
        <f t="shared" ref="F18:G18" si="13">F17/F15</f>
        <v>0.99732324133592043</v>
      </c>
      <c r="G18" s="801">
        <f t="shared" si="13"/>
        <v>0.99732181464605862</v>
      </c>
      <c r="H18" s="906">
        <f>AVERAGE(E18:G18)</f>
        <v>0.99729853137992108</v>
      </c>
      <c r="I18" s="521">
        <f>I17/I15</f>
        <v>0.99720269301654285</v>
      </c>
      <c r="J18" s="521">
        <f>J17/J15</f>
        <v>0.99689023922659936</v>
      </c>
      <c r="K18" s="521">
        <f>K17/K15</f>
        <v>0.99693800566617075</v>
      </c>
      <c r="L18" s="906">
        <f>SUM(I17:K17)/SUM(I15:K15)</f>
        <v>0.99700892588980028</v>
      </c>
      <c r="M18" s="521">
        <f>M17/M15</f>
        <v>0.99683233455064635</v>
      </c>
      <c r="N18" s="521">
        <f t="shared" ref="N18:O18" si="14">N17/N15</f>
        <v>0.99671644688531613</v>
      </c>
      <c r="O18" s="521">
        <f t="shared" si="14"/>
        <v>0.99725166612353766</v>
      </c>
      <c r="P18" s="906">
        <f>SUM(M17:O17)/SUM(M15:O15)</f>
        <v>0.99693323530741784</v>
      </c>
      <c r="Q18" s="513">
        <f>Q17/Q15</f>
        <v>0.99740501838338247</v>
      </c>
      <c r="R18" s="513">
        <f>R17/R15</f>
        <v>0.99734251122423312</v>
      </c>
      <c r="S18" s="513">
        <f>S17/S15</f>
        <v>0.99745641132998386</v>
      </c>
      <c r="T18" s="906">
        <f>SUM(Q17:S17)/SUM(Q15:S15)</f>
        <v>0.99740247284567474</v>
      </c>
      <c r="U18" s="930" t="s">
        <v>11</v>
      </c>
      <c r="V18" s="931">
        <f>U17/U15</f>
        <v>0.99716089685770992</v>
      </c>
      <c r="W18" s="235"/>
      <c r="X18" s="235"/>
    </row>
    <row r="19" spans="1:24" s="27" customFormat="1" ht="33" customHeight="1" x14ac:dyDescent="0.35">
      <c r="A19" s="874"/>
      <c r="B19" s="528" t="s">
        <v>36</v>
      </c>
      <c r="C19" s="893" t="s">
        <v>8</v>
      </c>
      <c r="D19" s="883" t="s">
        <v>9</v>
      </c>
      <c r="E19" s="796">
        <v>1560.9911219200001</v>
      </c>
      <c r="F19" s="796">
        <v>1491.5729571400002</v>
      </c>
      <c r="G19" s="796">
        <v>1796.3149819100001</v>
      </c>
      <c r="H19" s="907">
        <f>AVERAGE(E19:G19)</f>
        <v>1616.2930203233334</v>
      </c>
      <c r="I19" s="953">
        <v>1824.8672632599998</v>
      </c>
      <c r="J19" s="954">
        <v>2066.8251661600002</v>
      </c>
      <c r="K19" s="955">
        <v>2051.89660972</v>
      </c>
      <c r="L19" s="907">
        <f>AVERAGE(I19:K19)</f>
        <v>1981.19634638</v>
      </c>
      <c r="M19" s="636">
        <v>2068.7393640899995</v>
      </c>
      <c r="N19" s="838">
        <v>2204.3593397700001</v>
      </c>
      <c r="O19" s="838">
        <v>1824.8553430500008</v>
      </c>
      <c r="P19" s="907">
        <f>AVERAGE(M19:O19)</f>
        <v>2032.6513489700001</v>
      </c>
      <c r="Q19" s="495">
        <v>1786.8171557799997</v>
      </c>
      <c r="R19" s="495">
        <v>1807.0891845299998</v>
      </c>
      <c r="S19" s="495">
        <v>1840.12444708</v>
      </c>
      <c r="T19" s="907">
        <f>AVERAGE(Q19:S19)</f>
        <v>1811.3435957966665</v>
      </c>
      <c r="U19" s="927">
        <f>SUM(E19:G19,I19:K19,M19:O19,Q19:S19)</f>
        <v>22324.452934410001</v>
      </c>
      <c r="V19" s="927">
        <f>AVERAGE(E19:G19,I19:K19,M19:O19,Q19:S19)</f>
        <v>1860.3710778675002</v>
      </c>
      <c r="W19" s="234"/>
      <c r="X19" s="234"/>
    </row>
    <row r="20" spans="1:24" s="25" customFormat="1" ht="30" customHeight="1" x14ac:dyDescent="0.25">
      <c r="A20" s="875"/>
      <c r="B20" s="529" t="s">
        <v>31</v>
      </c>
      <c r="C20" s="899" t="s">
        <v>10</v>
      </c>
      <c r="D20" s="884"/>
      <c r="E20" s="802">
        <f>E19/E15</f>
        <v>2.7494618422159505E-3</v>
      </c>
      <c r="F20" s="802">
        <f t="shared" ref="F20:G20" si="15">F19/F15</f>
        <v>2.6767586640795097E-3</v>
      </c>
      <c r="G20" s="802">
        <f t="shared" si="15"/>
        <v>2.6781853539413099E-3</v>
      </c>
      <c r="H20" s="908">
        <f>AVERAGE(E20:G20)</f>
        <v>2.7014686200789229E-3</v>
      </c>
      <c r="I20" s="519">
        <f>I19/I15</f>
        <v>2.7973069834572378E-3</v>
      </c>
      <c r="J20" s="519">
        <f>J19/J15</f>
        <v>3.1097607734006153E-3</v>
      </c>
      <c r="K20" s="519">
        <f>K19/K15</f>
        <v>3.0619943338293233E-3</v>
      </c>
      <c r="L20" s="908">
        <f>SUM(I19:K19)/SUM(I15:K15)</f>
        <v>2.9910741101997454E-3</v>
      </c>
      <c r="M20" s="519">
        <f>M19/M15</f>
        <v>3.1676654493535596E-3</v>
      </c>
      <c r="N20" s="519">
        <f t="shared" ref="N20:O20" si="16">N19/N15</f>
        <v>3.283553114683846E-3</v>
      </c>
      <c r="O20" s="519">
        <f t="shared" si="16"/>
        <v>2.7483338764624087E-3</v>
      </c>
      <c r="P20" s="908">
        <f>SUM(M19:O19)/SUM(M15:O15)</f>
        <v>3.0667646925819176E-3</v>
      </c>
      <c r="Q20" s="519">
        <f>Q19/Q15</f>
        <v>2.5949816166174278E-3</v>
      </c>
      <c r="R20" s="519">
        <f>R19/R15</f>
        <v>2.6574887757669537E-3</v>
      </c>
      <c r="S20" s="519">
        <f>S19/S15</f>
        <v>2.5435886700161635E-3</v>
      </c>
      <c r="T20" s="908">
        <f>SUM(Q19:S19)/SUM(Q15:S15)</f>
        <v>2.5975271543253364E-3</v>
      </c>
      <c r="U20" s="935" t="s">
        <v>11</v>
      </c>
      <c r="V20" s="929">
        <f>U19/U15</f>
        <v>2.8391031422900655E-3</v>
      </c>
      <c r="W20" s="235"/>
      <c r="X20" s="235"/>
    </row>
    <row r="21" spans="1:24" ht="33" customHeight="1" x14ac:dyDescent="0.25">
      <c r="A21" s="870" t="s">
        <v>24</v>
      </c>
      <c r="B21" s="119" t="s">
        <v>37</v>
      </c>
      <c r="C21" s="900" t="s">
        <v>19</v>
      </c>
      <c r="D21" s="888" t="s">
        <v>16</v>
      </c>
      <c r="E21" s="803">
        <f>E23+E25</f>
        <v>167285.83599999998</v>
      </c>
      <c r="F21" s="803">
        <f t="shared" ref="F21:G21" si="17">F23+F25</f>
        <v>171840.47699999998</v>
      </c>
      <c r="G21" s="803">
        <f t="shared" si="17"/>
        <v>195245.06899999999</v>
      </c>
      <c r="H21" s="911">
        <f>AVERAGE(E21:G21)</f>
        <v>178123.79399999999</v>
      </c>
      <c r="I21" s="218">
        <f>I23+I25</f>
        <v>180263.43300000002</v>
      </c>
      <c r="J21" s="218">
        <f>J23+J25</f>
        <v>186908.55499999999</v>
      </c>
      <c r="K21" s="218">
        <f>K23+K25</f>
        <v>181400.01500000001</v>
      </c>
      <c r="L21" s="911">
        <f>AVERAGE(I21:K21)</f>
        <v>182857.33433333333</v>
      </c>
      <c r="M21" s="218">
        <f>M23+M25</f>
        <v>176341.15</v>
      </c>
      <c r="N21" s="218">
        <f t="shared" ref="N21:O21" si="18">N23+N25</f>
        <v>167226.48199999999</v>
      </c>
      <c r="O21" s="218">
        <f t="shared" si="18"/>
        <v>183764.95</v>
      </c>
      <c r="P21" s="911">
        <f>AVERAGE(M21:O21)</f>
        <v>175777.5273333333</v>
      </c>
      <c r="Q21" s="531">
        <f>Q23+Q25</f>
        <v>187229.68100000001</v>
      </c>
      <c r="R21" s="531">
        <f>R23+R25</f>
        <v>182638.02699999997</v>
      </c>
      <c r="S21" s="531">
        <f>S23+S25</f>
        <v>192151.25900000002</v>
      </c>
      <c r="T21" s="911">
        <f>AVERAGE(Q21:S21)</f>
        <v>187339.65566666666</v>
      </c>
      <c r="U21" s="936">
        <f>SUM(E21:G21,I21:K21,M21:O21,Q21:S21)</f>
        <v>2172294.9339999999</v>
      </c>
      <c r="V21" s="937">
        <f>AVERAGE(E21:G21,I21:K21,M21:O21,Q21:S21)</f>
        <v>181024.57783333331</v>
      </c>
      <c r="W21" s="233"/>
      <c r="X21" s="233"/>
    </row>
    <row r="22" spans="1:24" ht="30" customHeight="1" x14ac:dyDescent="0.25">
      <c r="A22" s="870"/>
      <c r="B22" s="2" t="s">
        <v>14</v>
      </c>
      <c r="C22" s="901" t="s">
        <v>38</v>
      </c>
      <c r="D22" s="889" t="s">
        <v>16</v>
      </c>
      <c r="E22" s="804">
        <f>E21/E7</f>
        <v>8364.2917999999991</v>
      </c>
      <c r="F22" s="804">
        <f>F21/F7</f>
        <v>8592.0238499999996</v>
      </c>
      <c r="G22" s="804">
        <f>G21/G7</f>
        <v>8488.9160434782607</v>
      </c>
      <c r="H22" s="912">
        <f>SUM(E21:G21)/SUM(E7:G7)</f>
        <v>8482.0854285714286</v>
      </c>
      <c r="I22" s="221">
        <f>I21/I7</f>
        <v>9013.1716500000002</v>
      </c>
      <c r="J22" s="221">
        <f>J21/J7</f>
        <v>8900.4073809523798</v>
      </c>
      <c r="K22" s="221">
        <f>K21/K7</f>
        <v>8638.0959523809524</v>
      </c>
      <c r="L22" s="912">
        <f>SUM(I21:K21)/SUM(I7:K7)</f>
        <v>8847.935532258065</v>
      </c>
      <c r="M22" s="221">
        <f>M21/M7</f>
        <v>8817.057499999999</v>
      </c>
      <c r="N22" s="221">
        <f t="shared" ref="N22:O22" si="19">N21/N7</f>
        <v>7601.2037272727266</v>
      </c>
      <c r="O22" s="221">
        <f t="shared" si="19"/>
        <v>8352.9522727272724</v>
      </c>
      <c r="P22" s="912">
        <f>SUM(M21:O21)/SUM(M7:O7)</f>
        <v>8239.571593749999</v>
      </c>
      <c r="Q22" s="532">
        <f>Q21/Q7</f>
        <v>9361.4840500000009</v>
      </c>
      <c r="R22" s="532">
        <f>R21/R7</f>
        <v>8697.048904761903</v>
      </c>
      <c r="S22" s="532">
        <f>S21/S7</f>
        <v>9150.0599523809542</v>
      </c>
      <c r="T22" s="912">
        <f>SUM(Q21:S21)/SUM(Q7:S7)</f>
        <v>9064.8220483870955</v>
      </c>
      <c r="U22" s="938" t="s">
        <v>11</v>
      </c>
      <c r="V22" s="939">
        <f>U21/U7</f>
        <v>8654.5614900398396</v>
      </c>
      <c r="W22" s="233"/>
      <c r="X22" s="233"/>
    </row>
    <row r="23" spans="1:24" s="27" customFormat="1" ht="33" customHeight="1" x14ac:dyDescent="0.35">
      <c r="A23" s="874"/>
      <c r="B23" s="528" t="s">
        <v>36</v>
      </c>
      <c r="C23" s="893" t="s">
        <v>19</v>
      </c>
      <c r="D23" s="883" t="s">
        <v>16</v>
      </c>
      <c r="E23" s="796">
        <v>165658.70199999999</v>
      </c>
      <c r="F23" s="796">
        <v>170281.87099999998</v>
      </c>
      <c r="G23" s="796">
        <v>193458.728</v>
      </c>
      <c r="H23" s="907">
        <f>AVERAGE(E23:G23)</f>
        <v>176466.43366666665</v>
      </c>
      <c r="I23" s="495">
        <v>178669.08100000001</v>
      </c>
      <c r="J23" s="495">
        <v>185177.60399999999</v>
      </c>
      <c r="K23" s="495">
        <v>179752.40700000001</v>
      </c>
      <c r="L23" s="907">
        <f>AVERAGE(I23:K23)</f>
        <v>181199.69733333332</v>
      </c>
      <c r="M23" s="838">
        <v>174712.28200000001</v>
      </c>
      <c r="N23" s="838">
        <v>165626.79699999999</v>
      </c>
      <c r="O23" s="838">
        <v>182146.44100000002</v>
      </c>
      <c r="P23" s="907">
        <f>+AVERAGE(M23:O23)</f>
        <v>174161.84</v>
      </c>
      <c r="Q23" s="495">
        <v>185542.75700000001</v>
      </c>
      <c r="R23" s="495">
        <v>181031.53399999999</v>
      </c>
      <c r="S23" s="495">
        <v>190502.21500000003</v>
      </c>
      <c r="T23" s="907">
        <f>+AVERAGE(Q23:S23)</f>
        <v>185692.16866666669</v>
      </c>
      <c r="U23" s="927">
        <f>SUM(E23:G23,I23:K23,M23:O23,Q23:S23)</f>
        <v>2152560.4190000002</v>
      </c>
      <c r="V23" s="927">
        <f>AVERAGE(E23:G23,I23:K23,L23:O24)</f>
        <v>126906.2552612599</v>
      </c>
      <c r="W23" s="234"/>
      <c r="X23" s="234"/>
    </row>
    <row r="24" spans="1:24" s="25" customFormat="1" ht="30" customHeight="1" x14ac:dyDescent="0.25">
      <c r="A24" s="875"/>
      <c r="B24" s="529" t="s">
        <v>32</v>
      </c>
      <c r="C24" s="899" t="s">
        <v>21</v>
      </c>
      <c r="D24" s="884"/>
      <c r="E24" s="802">
        <f>E23/E21</f>
        <v>0.99027333073195756</v>
      </c>
      <c r="F24" s="802">
        <f t="shared" ref="F24:G24" si="20">F23/F21</f>
        <v>0.99092992508394862</v>
      </c>
      <c r="G24" s="802">
        <f t="shared" si="20"/>
        <v>0.99085077534019572</v>
      </c>
      <c r="H24" s="908">
        <f>SUM(E23:G23)/SUM(E21:G21)</f>
        <v>0.99069545793902558</v>
      </c>
      <c r="I24" s="519">
        <f>I23/I21</f>
        <v>0.99115543306001497</v>
      </c>
      <c r="J24" s="519">
        <f>J23/J21</f>
        <v>0.99073904883594011</v>
      </c>
      <c r="K24" s="519">
        <f>K23/K21</f>
        <v>0.99091726646218847</v>
      </c>
      <c r="L24" s="908">
        <f>SUM(I23:K23)/SUM(I21:K21)</f>
        <v>0.99093480714873439</v>
      </c>
      <c r="M24" s="519">
        <f>M23/M21</f>
        <v>0.99076297279449532</v>
      </c>
      <c r="N24" s="519">
        <f t="shared" ref="N24:O24" si="21">N23/N21</f>
        <v>0.99043402109003287</v>
      </c>
      <c r="O24" s="519">
        <f t="shared" si="21"/>
        <v>0.99119250433774242</v>
      </c>
      <c r="P24" s="908">
        <f>SUM(M23:O23)/SUM(M21:O21)</f>
        <v>0.9908083396219961</v>
      </c>
      <c r="Q24" s="519">
        <f>Q23/Q21</f>
        <v>0.99099008238976816</v>
      </c>
      <c r="R24" s="519">
        <f>R23/R21</f>
        <v>0.99120395119029625</v>
      </c>
      <c r="S24" s="519">
        <f>S23/S21</f>
        <v>0.99141799013661425</v>
      </c>
      <c r="T24" s="908">
        <f>SUM(Q23:S23)/SUM(Q21:S21)</f>
        <v>0.99120588220290451</v>
      </c>
      <c r="U24" s="940" t="s">
        <v>11</v>
      </c>
      <c r="V24" s="929">
        <f>U23/U21</f>
        <v>0.99091536112747769</v>
      </c>
      <c r="W24" s="235"/>
      <c r="X24" s="236"/>
    </row>
    <row r="25" spans="1:24" s="27" customFormat="1" ht="33" customHeight="1" x14ac:dyDescent="0.35">
      <c r="A25" s="872"/>
      <c r="B25" s="526" t="s">
        <v>36</v>
      </c>
      <c r="C25" s="891" t="s">
        <v>19</v>
      </c>
      <c r="D25" s="881" t="s">
        <v>16</v>
      </c>
      <c r="E25" s="794">
        <v>1627.134</v>
      </c>
      <c r="F25" s="794">
        <v>1558.606</v>
      </c>
      <c r="G25" s="794">
        <v>1786.3409999999999</v>
      </c>
      <c r="H25" s="905">
        <f>AVERAGE(E25:G25)</f>
        <v>1657.3603333333333</v>
      </c>
      <c r="I25" s="444">
        <v>1594.3520000000001</v>
      </c>
      <c r="J25" s="444">
        <v>1730.951</v>
      </c>
      <c r="K25" s="444">
        <v>1647.6079999999999</v>
      </c>
      <c r="L25" s="905">
        <f>AVERAGE(I25:K25)</f>
        <v>1657.6369999999999</v>
      </c>
      <c r="M25" s="794">
        <v>1628.8679999999999</v>
      </c>
      <c r="N25" s="800">
        <v>1599.6849999999999</v>
      </c>
      <c r="O25" s="800">
        <v>1618.509</v>
      </c>
      <c r="P25" s="905">
        <f>AVERAGE(M25:O25)</f>
        <v>1615.6873333333333</v>
      </c>
      <c r="Q25" s="508">
        <v>1686.924</v>
      </c>
      <c r="R25" s="508">
        <v>1606.4929999999999</v>
      </c>
      <c r="S25" s="917">
        <v>1649.0440000000001</v>
      </c>
      <c r="T25" s="905">
        <f>AVERAGE(Q25:S25)</f>
        <v>1647.4870000000001</v>
      </c>
      <c r="U25" s="923">
        <f>SUM(E25:G25,I25:K25,M25:O25,Q25:S25)</f>
        <v>19734.514999999999</v>
      </c>
      <c r="V25" s="941">
        <f>AVERAGE(E25:G25,I25:K25,M25:O25,Q25:S25)</f>
        <v>1644.5429166666665</v>
      </c>
      <c r="W25" s="234"/>
      <c r="X25" s="234"/>
    </row>
    <row r="26" spans="1:24" s="25" customFormat="1" ht="30" customHeight="1" x14ac:dyDescent="0.25">
      <c r="A26" s="873"/>
      <c r="B26" s="527" t="s">
        <v>31</v>
      </c>
      <c r="C26" s="898" t="s">
        <v>21</v>
      </c>
      <c r="D26" s="885"/>
      <c r="E26" s="801">
        <f>E25/E21</f>
        <v>9.7266692680425156E-3</v>
      </c>
      <c r="F26" s="801">
        <f t="shared" ref="F26:G26" si="22">F25/F21</f>
        <v>9.0700749160513572E-3</v>
      </c>
      <c r="G26" s="801">
        <f t="shared" si="22"/>
        <v>9.1492246598043406E-3</v>
      </c>
      <c r="H26" s="906">
        <f>SUM(E25:G25)/SUM(E21:G21)</f>
        <v>9.3045420609743669E-3</v>
      </c>
      <c r="I26" s="521">
        <f>I25/I21</f>
        <v>8.8445669399849942E-3</v>
      </c>
      <c r="J26" s="521">
        <f>J25/J21</f>
        <v>9.2609511640598802E-3</v>
      </c>
      <c r="K26" s="521">
        <f>K25/K21</f>
        <v>9.082733537811449E-3</v>
      </c>
      <c r="L26" s="906">
        <f>SUM(I25:K25)/SUM(I21:K21)</f>
        <v>9.0651928512655057E-3</v>
      </c>
      <c r="M26" s="521">
        <f>M25/M21</f>
        <v>9.2370272055047851E-3</v>
      </c>
      <c r="N26" s="521">
        <f t="shared" ref="N26:O26" si="23">N25/N21</f>
        <v>9.5659789099671426E-3</v>
      </c>
      <c r="O26" s="521">
        <f t="shared" si="23"/>
        <v>8.807495662257683E-3</v>
      </c>
      <c r="P26" s="906">
        <f>SUM(M25:O25)/SUM(M21:O21)</f>
        <v>9.1916603780041045E-3</v>
      </c>
      <c r="Q26" s="513">
        <f>Q25/Q21</f>
        <v>9.0099176102318938E-3</v>
      </c>
      <c r="R26" s="513">
        <f>R25/R21</f>
        <v>8.7960488097037978E-3</v>
      </c>
      <c r="S26" s="513">
        <f>S25/S21</f>
        <v>8.5820098633858019E-3</v>
      </c>
      <c r="T26" s="906">
        <f>SUM(Q25:S25)/SUM(Q21:S21)</f>
        <v>8.794117797095628E-3</v>
      </c>
      <c r="U26" s="942" t="s">
        <v>11</v>
      </c>
      <c r="V26" s="930">
        <f>U25/U21</f>
        <v>9.0846388725224544E-3</v>
      </c>
      <c r="W26" s="235"/>
      <c r="X26" s="235"/>
    </row>
    <row r="27" spans="1:24" ht="33" customHeight="1" x14ac:dyDescent="0.25">
      <c r="A27" s="871" t="s">
        <v>33</v>
      </c>
      <c r="B27" s="522" t="s">
        <v>34</v>
      </c>
      <c r="C27" s="897" t="s">
        <v>18</v>
      </c>
      <c r="D27" s="887"/>
      <c r="E27" s="805">
        <v>2507</v>
      </c>
      <c r="F27" s="805">
        <v>2506</v>
      </c>
      <c r="G27" s="805">
        <v>2505</v>
      </c>
      <c r="H27" s="913">
        <f>AVERAGE(E27:G27)</f>
        <v>2506</v>
      </c>
      <c r="I27" s="533">
        <v>2489</v>
      </c>
      <c r="J27" s="533">
        <v>2482</v>
      </c>
      <c r="K27" s="533">
        <v>2479</v>
      </c>
      <c r="L27" s="913">
        <f>AVERAGE(I27:K27)</f>
        <v>2483.3333333333335</v>
      </c>
      <c r="M27" s="533">
        <v>2480</v>
      </c>
      <c r="N27" s="533">
        <v>2478</v>
      </c>
      <c r="O27" s="533">
        <v>2473</v>
      </c>
      <c r="P27" s="913">
        <f>AVERAGE(M27:O27)</f>
        <v>2477</v>
      </c>
      <c r="Q27" s="534">
        <v>2473</v>
      </c>
      <c r="R27" s="534">
        <v>2469</v>
      </c>
      <c r="S27" s="534">
        <v>2466</v>
      </c>
      <c r="T27" s="913">
        <f>AVERAGE(Q27:S27)</f>
        <v>2469.3333333333335</v>
      </c>
      <c r="U27" s="943" t="s">
        <v>11</v>
      </c>
      <c r="V27" s="944">
        <f>AVERAGE(E27:G27,I27:K27,M27:O27,Q27:S27)</f>
        <v>2483.9166666666665</v>
      </c>
      <c r="W27" s="233"/>
      <c r="X27" s="233"/>
    </row>
    <row r="28" spans="1:24" ht="30" customHeight="1" x14ac:dyDescent="0.25">
      <c r="A28" s="876"/>
      <c r="B28" s="331"/>
      <c r="C28" s="900" t="s">
        <v>19</v>
      </c>
      <c r="D28" s="888" t="s">
        <v>16</v>
      </c>
      <c r="E28" s="803">
        <f>E21</f>
        <v>167285.83599999998</v>
      </c>
      <c r="F28" s="803">
        <f t="shared" ref="F28:G28" si="24">F21</f>
        <v>171840.47699999998</v>
      </c>
      <c r="G28" s="803">
        <f t="shared" si="24"/>
        <v>195245.06899999999</v>
      </c>
      <c r="H28" s="911">
        <f>AVERAGE(E28:G28)</f>
        <v>178123.79399999999</v>
      </c>
      <c r="I28" s="218">
        <f>I21</f>
        <v>180263.43300000002</v>
      </c>
      <c r="J28" s="218">
        <f>J21</f>
        <v>186908.55499999999</v>
      </c>
      <c r="K28" s="218">
        <f>K21</f>
        <v>181400.01500000001</v>
      </c>
      <c r="L28" s="911">
        <f>AVERAGE(I28:J28)</f>
        <v>183585.99400000001</v>
      </c>
      <c r="M28" s="218">
        <f>M21</f>
        <v>176341.15</v>
      </c>
      <c r="N28" s="218">
        <f t="shared" ref="N28:O28" si="25">N21</f>
        <v>167226.48199999999</v>
      </c>
      <c r="O28" s="218">
        <f t="shared" si="25"/>
        <v>183764.95</v>
      </c>
      <c r="P28" s="911">
        <f>AVERAGE(M28:O28)</f>
        <v>175777.5273333333</v>
      </c>
      <c r="Q28" s="531">
        <f>Q21</f>
        <v>187229.68100000001</v>
      </c>
      <c r="R28" s="531">
        <f>R21</f>
        <v>182638.02699999997</v>
      </c>
      <c r="S28" s="531">
        <f>S21</f>
        <v>192151.25900000002</v>
      </c>
      <c r="T28" s="911">
        <f>AVERAGE(Q28:S28)</f>
        <v>187339.65566666666</v>
      </c>
      <c r="U28" s="936">
        <f>SUM(E28:G28,I28:K28,M28:O28,Q28:S28)</f>
        <v>2172294.9339999999</v>
      </c>
      <c r="V28" s="936">
        <f>AVERAGE(E28:G28,I28:K28,M28:O28,Q28:S28)</f>
        <v>181024.57783333331</v>
      </c>
      <c r="W28" s="233"/>
      <c r="X28" s="233"/>
    </row>
    <row r="29" spans="1:24" ht="30" customHeight="1" x14ac:dyDescent="0.25">
      <c r="A29" s="877"/>
      <c r="B29" s="535"/>
      <c r="C29" s="897" t="s">
        <v>20</v>
      </c>
      <c r="D29" s="887" t="s">
        <v>16</v>
      </c>
      <c r="E29" s="799">
        <f>E28/E7</f>
        <v>8364.2917999999991</v>
      </c>
      <c r="F29" s="799">
        <f t="shared" ref="F29:G29" si="26">F28/F7</f>
        <v>8592.0238499999996</v>
      </c>
      <c r="G29" s="799">
        <f t="shared" si="26"/>
        <v>8488.9160434782607</v>
      </c>
      <c r="H29" s="910">
        <f>SUM(E28:G28)/SUM(E7:G7)</f>
        <v>8482.0854285714286</v>
      </c>
      <c r="I29" s="496">
        <f>I28/I7</f>
        <v>9013.1716500000002</v>
      </c>
      <c r="J29" s="496">
        <f>J28/J7</f>
        <v>8900.4073809523798</v>
      </c>
      <c r="K29" s="496">
        <f>K28/K7</f>
        <v>8638.0959523809524</v>
      </c>
      <c r="L29" s="910">
        <f>SUM(I28:K28)/SUM(I7:K7)</f>
        <v>8847.935532258065</v>
      </c>
      <c r="M29" s="496">
        <f>M28/M7</f>
        <v>8817.057499999999</v>
      </c>
      <c r="N29" s="496">
        <f t="shared" ref="N29:O29" si="27">N28/N7</f>
        <v>7601.2037272727266</v>
      </c>
      <c r="O29" s="496">
        <f t="shared" si="27"/>
        <v>8352.9522727272724</v>
      </c>
      <c r="P29" s="910">
        <f>SUM(M28:O28)/SUM(M7:O7)</f>
        <v>8239.571593749999</v>
      </c>
      <c r="Q29" s="496">
        <f>Q28/Q7</f>
        <v>9361.4840500000009</v>
      </c>
      <c r="R29" s="496">
        <f>R28/R7</f>
        <v>8697.048904761903</v>
      </c>
      <c r="S29" s="496">
        <f>S28/S7</f>
        <v>9150.0599523809542</v>
      </c>
      <c r="T29" s="910">
        <f>SUM(Q28:S28)/SUM(Q7:S7)</f>
        <v>9064.8220483870955</v>
      </c>
      <c r="U29" s="933" t="s">
        <v>11</v>
      </c>
      <c r="V29" s="934">
        <f>U28/U7</f>
        <v>8654.5614900398396</v>
      </c>
      <c r="W29" s="233"/>
      <c r="X29" s="233"/>
    </row>
    <row r="30" spans="1:24" ht="30" customHeight="1" x14ac:dyDescent="0.25">
      <c r="A30" s="876"/>
      <c r="B30" s="331"/>
      <c r="C30" s="901" t="s">
        <v>22</v>
      </c>
      <c r="D30" s="889" t="s">
        <v>219</v>
      </c>
      <c r="E30" s="804">
        <f>E31/E28*1000</f>
        <v>3393.8572016161602</v>
      </c>
      <c r="F30" s="804">
        <f t="shared" ref="F30:G30" si="28">F31/F28*1000</f>
        <v>3242.7227182215634</v>
      </c>
      <c r="G30" s="804">
        <f t="shared" si="28"/>
        <v>3435.2772000541027</v>
      </c>
      <c r="H30" s="912">
        <f>SUM(E31:G31)/SUM(E28:G28)*1000</f>
        <v>3360.3898942956489</v>
      </c>
      <c r="I30" s="221">
        <f>I31/I28*1000</f>
        <v>3618.9577517839125</v>
      </c>
      <c r="J30" s="221">
        <f>J31/J28*1000</f>
        <v>3555.8839590336029</v>
      </c>
      <c r="K30" s="221">
        <f>K31/K28*1000</f>
        <v>3694.1435922382911</v>
      </c>
      <c r="L30" s="912">
        <f>SUM(I31:K31)/SUM(I28:K28)*1000</f>
        <v>3622.3295628037358</v>
      </c>
      <c r="M30" s="221">
        <f>M31/M28*1000</f>
        <v>3703.503862818066</v>
      </c>
      <c r="N30" s="221">
        <f>N31/N28*1000</f>
        <v>4014.5169176575164</v>
      </c>
      <c r="O30" s="221">
        <f>O31/O28*1000</f>
        <v>3613.2355259050755</v>
      </c>
      <c r="P30" s="912">
        <f>SUM(M31:O31)/SUM(M28:O28)*1000</f>
        <v>3770.6748736877789</v>
      </c>
      <c r="Q30" s="532">
        <f>Q31/Q28*1000</f>
        <v>3677.6562274683902</v>
      </c>
      <c r="R30" s="532">
        <f>R31/R28*1000</f>
        <v>3723.2049284889072</v>
      </c>
      <c r="S30" s="532">
        <f>S31/S28*1000</f>
        <v>3764.9315005658636</v>
      </c>
      <c r="T30" s="912">
        <f>SUM(Q31:S31)/SUM(Q28:S28)*1000</f>
        <v>3722.2970313650471</v>
      </c>
      <c r="U30" s="945" t="s">
        <v>11</v>
      </c>
      <c r="V30" s="946">
        <f>U31/U28*1000</f>
        <v>3619.7690755771982</v>
      </c>
      <c r="W30" s="233"/>
      <c r="X30" s="233"/>
    </row>
    <row r="31" spans="1:24" ht="30" customHeight="1" x14ac:dyDescent="0.25">
      <c r="A31" s="877"/>
      <c r="B31" s="535"/>
      <c r="C31" s="896" t="s">
        <v>26</v>
      </c>
      <c r="D31" s="886" t="s">
        <v>9</v>
      </c>
      <c r="E31" s="798">
        <f>E15</f>
        <v>567744.23923697986</v>
      </c>
      <c r="F31" s="798">
        <f t="shared" ref="F31:G31" si="29">F15</f>
        <v>557231.01867793</v>
      </c>
      <c r="G31" s="798">
        <f t="shared" si="29"/>
        <v>670720.93395869003</v>
      </c>
      <c r="H31" s="909">
        <f>AVERAGE(E31:G31)</f>
        <v>598565.39729119989</v>
      </c>
      <c r="I31" s="524">
        <f>I15</f>
        <v>652365.74821852997</v>
      </c>
      <c r="J31" s="524">
        <f>J15</f>
        <v>664625.13253064989</v>
      </c>
      <c r="K31" s="524">
        <f>K15</f>
        <v>670117.70304417994</v>
      </c>
      <c r="L31" s="909">
        <f>AVERAGE(I31:K31)</f>
        <v>662369.5279311199</v>
      </c>
      <c r="M31" s="524">
        <f>M15</f>
        <v>653080.13019877998</v>
      </c>
      <c r="N31" s="524">
        <f t="shared" ref="N31:O31" si="30">N15</f>
        <v>671333.54106935009</v>
      </c>
      <c r="O31" s="524">
        <f t="shared" si="30"/>
        <v>663986.04575616994</v>
      </c>
      <c r="P31" s="909">
        <f>AVERAGE(M31:O31)</f>
        <v>662799.90567476675</v>
      </c>
      <c r="Q31" s="524">
        <f>Q15</f>
        <v>688566.40229657013</v>
      </c>
      <c r="R31" s="524">
        <f>R15</f>
        <v>679998.80225588998</v>
      </c>
      <c r="S31" s="524">
        <f>S15</f>
        <v>723436.32788249</v>
      </c>
      <c r="T31" s="909">
        <f>AVERAGE(Q31:S31)</f>
        <v>697333.84414498333</v>
      </c>
      <c r="U31" s="932">
        <f>SUM(E31:G31,I31:K31,M31:O31,Q31:S31)</f>
        <v>7863206.0251262104</v>
      </c>
      <c r="V31" s="932">
        <f>AVERAGE(E31:G31,I31:K31,M31:O31,Q31:S31)</f>
        <v>655267.1687605175</v>
      </c>
      <c r="W31" s="233"/>
      <c r="X31" s="233"/>
    </row>
    <row r="32" spans="1:24" ht="33" customHeight="1" x14ac:dyDescent="0.25">
      <c r="A32" s="878"/>
      <c r="B32" s="947"/>
      <c r="C32" s="902" t="s">
        <v>20</v>
      </c>
      <c r="D32" s="890" t="s">
        <v>9</v>
      </c>
      <c r="E32" s="948">
        <f>E31/E7</f>
        <v>28387.211961848992</v>
      </c>
      <c r="F32" s="948">
        <f t="shared" ref="F32:G32" si="31">F31/F7</f>
        <v>27861.550933896498</v>
      </c>
      <c r="G32" s="948">
        <f t="shared" si="31"/>
        <v>29161.779737334349</v>
      </c>
      <c r="H32" s="914">
        <f>SUM(E31:G31)/SUM(E7:G7)</f>
        <v>28503.114156723805</v>
      </c>
      <c r="I32" s="949">
        <f>I31/I7</f>
        <v>32618.287410926499</v>
      </c>
      <c r="J32" s="949">
        <f>J31/J7</f>
        <v>31648.815834792851</v>
      </c>
      <c r="K32" s="949">
        <f>K31/K7</f>
        <v>31910.366811627617</v>
      </c>
      <c r="L32" s="914">
        <f>SUM(I31:K31)/SUM(I7:K7)</f>
        <v>32050.138448279999</v>
      </c>
      <c r="M32" s="949">
        <f>M31/M7</f>
        <v>32654.006509938998</v>
      </c>
      <c r="N32" s="949">
        <f>N31/N7</f>
        <v>30515.160957697732</v>
      </c>
      <c r="O32" s="949">
        <f>O31/O7</f>
        <v>30181.183898007726</v>
      </c>
      <c r="P32" s="914">
        <f>SUM(M31:O31)/SUM(M7:O7)</f>
        <v>31068.745578504691</v>
      </c>
      <c r="Q32" s="950">
        <f>Q31/Q7</f>
        <v>34428.320114828508</v>
      </c>
      <c r="R32" s="950">
        <f>R31/R7</f>
        <v>32380.895345518569</v>
      </c>
      <c r="S32" s="950">
        <f>S31/S7</f>
        <v>34449.348946785241</v>
      </c>
      <c r="T32" s="914">
        <f>SUM(Q31:S31)/SUM(Q7:S7)</f>
        <v>33741.960200563713</v>
      </c>
      <c r="U32" s="951" t="s">
        <v>11</v>
      </c>
      <c r="V32" s="952">
        <f>U31/U7</f>
        <v>31327.51404432753</v>
      </c>
      <c r="W32" s="233"/>
      <c r="X32" s="233"/>
    </row>
    <row r="33" spans="1:24" s="135" customFormat="1" ht="30" customHeight="1" x14ac:dyDescent="0.25">
      <c r="A33" s="957" t="s">
        <v>392</v>
      </c>
      <c r="B33" s="957"/>
      <c r="C33" s="957"/>
      <c r="D33" s="957"/>
      <c r="E33" s="957"/>
      <c r="F33" s="957"/>
      <c r="G33" s="327"/>
      <c r="H33" s="327"/>
      <c r="I33" s="327"/>
      <c r="J33" s="327"/>
      <c r="K33" s="327"/>
      <c r="L33" s="327"/>
      <c r="M33" s="916"/>
      <c r="N33" s="916"/>
      <c r="O33" s="916"/>
      <c r="P33" s="916"/>
      <c r="Q33" s="916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490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500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8">
    <mergeCell ref="B13:B14"/>
    <mergeCell ref="A33:F33"/>
    <mergeCell ref="A3:V3"/>
    <mergeCell ref="A4:V4"/>
    <mergeCell ref="B5:C6"/>
    <mergeCell ref="B7:C7"/>
    <mergeCell ref="B8:C8"/>
    <mergeCell ref="B11:B12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43" orientation="landscape" r:id="rId1"/>
  <headerFooter alignWithMargins="0"/>
  <ignoredErrors>
    <ignoredError sqref="H14:H32 H10:H1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X2060"/>
  <sheetViews>
    <sheetView topLeftCell="A19" zoomScale="75" zoomScaleNormal="100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2.69921875" style="3" customWidth="1"/>
    <col min="4" max="4" width="8.69921875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5.89843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5.39843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995" t="s">
        <v>41</v>
      </c>
      <c r="B1" s="995"/>
      <c r="C1" s="995"/>
      <c r="V1" s="38"/>
    </row>
    <row r="2" spans="1:24" ht="17.5" x14ac:dyDescent="0.35">
      <c r="A2" s="995" t="s">
        <v>0</v>
      </c>
      <c r="B2" s="995"/>
      <c r="C2" s="995"/>
    </row>
    <row r="3" spans="1:24" ht="39" customHeight="1" x14ac:dyDescent="0.4">
      <c r="A3" s="996" t="s">
        <v>42</v>
      </c>
      <c r="B3" s="996"/>
      <c r="C3" s="996"/>
      <c r="D3" s="996"/>
      <c r="E3" s="996"/>
      <c r="F3" s="996"/>
      <c r="G3" s="996"/>
      <c r="H3" s="996"/>
      <c r="I3" s="996"/>
      <c r="J3" s="996"/>
      <c r="K3" s="996"/>
      <c r="L3" s="996"/>
      <c r="M3" s="996"/>
      <c r="N3" s="996"/>
      <c r="O3" s="996"/>
      <c r="P3" s="996"/>
      <c r="Q3" s="996"/>
      <c r="R3" s="996"/>
      <c r="S3" s="996"/>
      <c r="T3" s="996"/>
      <c r="U3" s="996"/>
      <c r="V3" s="996"/>
    </row>
    <row r="4" spans="1:24" s="134" customFormat="1" ht="18.75" customHeight="1" x14ac:dyDescent="0.25">
      <c r="A4" s="997" t="s">
        <v>44</v>
      </c>
      <c r="B4" s="997"/>
      <c r="C4" s="997"/>
      <c r="D4" s="997"/>
      <c r="E4" s="997"/>
      <c r="F4" s="997"/>
      <c r="G4" s="997"/>
      <c r="H4" s="997"/>
      <c r="I4" s="997"/>
      <c r="J4" s="997"/>
      <c r="K4" s="997"/>
      <c r="L4" s="997"/>
      <c r="M4" s="997"/>
      <c r="N4" s="997"/>
      <c r="O4" s="997"/>
      <c r="P4" s="997"/>
      <c r="Q4" s="997"/>
      <c r="R4" s="997"/>
      <c r="S4" s="997"/>
      <c r="T4" s="997"/>
      <c r="U4" s="997"/>
      <c r="V4" s="997"/>
    </row>
    <row r="5" spans="1:24" ht="30.75" customHeight="1" thickBot="1" x14ac:dyDescent="0.3">
      <c r="A5" s="998" t="s">
        <v>119</v>
      </c>
      <c r="B5" s="998"/>
      <c r="C5" s="998"/>
      <c r="D5" s="998"/>
      <c r="E5" s="998"/>
      <c r="F5" s="998"/>
      <c r="G5" s="998"/>
      <c r="H5" s="998"/>
      <c r="I5" s="998"/>
      <c r="J5" s="998"/>
      <c r="K5" s="998"/>
      <c r="L5" s="998"/>
      <c r="M5" s="998"/>
      <c r="N5" s="998"/>
      <c r="O5" s="998"/>
      <c r="P5" s="998"/>
      <c r="Q5" s="998"/>
      <c r="R5" s="998"/>
      <c r="S5" s="998"/>
      <c r="T5" s="998"/>
      <c r="U5" s="998"/>
      <c r="V5" s="998"/>
    </row>
    <row r="6" spans="1:24" ht="42" customHeight="1" thickTop="1" thickBot="1" x14ac:dyDescent="0.45">
      <c r="A6" s="112" t="s">
        <v>1</v>
      </c>
      <c r="B6" s="993" t="s">
        <v>2</v>
      </c>
      <c r="C6" s="993"/>
      <c r="D6" s="88" t="s">
        <v>3</v>
      </c>
      <c r="E6" s="142" t="s">
        <v>107</v>
      </c>
      <c r="F6" s="143" t="s">
        <v>108</v>
      </c>
      <c r="G6" s="142" t="s">
        <v>109</v>
      </c>
      <c r="H6" s="144" t="s">
        <v>54</v>
      </c>
      <c r="I6" s="143" t="s">
        <v>110</v>
      </c>
      <c r="J6" s="143" t="s">
        <v>111</v>
      </c>
      <c r="K6" s="143" t="s">
        <v>112</v>
      </c>
      <c r="L6" s="144" t="s">
        <v>55</v>
      </c>
      <c r="M6" s="143" t="s">
        <v>113</v>
      </c>
      <c r="N6" s="143" t="s">
        <v>114</v>
      </c>
      <c r="O6" s="143" t="s">
        <v>115</v>
      </c>
      <c r="P6" s="144" t="s">
        <v>56</v>
      </c>
      <c r="Q6" s="143" t="s">
        <v>116</v>
      </c>
      <c r="R6" s="143" t="s">
        <v>117</v>
      </c>
      <c r="S6" s="143" t="s">
        <v>118</v>
      </c>
      <c r="T6" s="144" t="s">
        <v>57</v>
      </c>
      <c r="U6" s="138" t="s">
        <v>46</v>
      </c>
      <c r="V6" s="139" t="s">
        <v>58</v>
      </c>
      <c r="W6" s="233"/>
      <c r="X6" s="233"/>
    </row>
    <row r="7" spans="1:24" ht="44.25" customHeight="1" thickTop="1" thickBot="1" x14ac:dyDescent="0.4">
      <c r="A7" s="102"/>
      <c r="B7" s="993"/>
      <c r="C7" s="993"/>
      <c r="D7" s="89" t="s">
        <v>4</v>
      </c>
      <c r="E7" s="16"/>
      <c r="F7" s="54"/>
      <c r="G7" s="16"/>
      <c r="H7" s="136" t="s">
        <v>45</v>
      </c>
      <c r="I7" s="237"/>
      <c r="J7" s="237"/>
      <c r="K7" s="237"/>
      <c r="L7" s="238" t="s">
        <v>45</v>
      </c>
      <c r="M7" s="237"/>
      <c r="N7" s="237"/>
      <c r="O7" s="237"/>
      <c r="P7" s="238" t="s">
        <v>45</v>
      </c>
      <c r="Q7" s="237"/>
      <c r="R7" s="237"/>
      <c r="S7" s="237"/>
      <c r="T7" s="238" t="s">
        <v>45</v>
      </c>
      <c r="U7" s="140" t="s">
        <v>53</v>
      </c>
      <c r="V7" s="141" t="s">
        <v>53</v>
      </c>
      <c r="W7" s="233"/>
      <c r="X7" s="233"/>
    </row>
    <row r="8" spans="1:24" ht="30" customHeight="1" thickTop="1" thickBot="1" x14ac:dyDescent="0.3">
      <c r="A8" s="103" t="s">
        <v>5</v>
      </c>
      <c r="B8" s="994" t="s">
        <v>6</v>
      </c>
      <c r="C8" s="994"/>
      <c r="D8" s="90"/>
      <c r="E8" s="184">
        <v>21</v>
      </c>
      <c r="F8" s="185">
        <v>20</v>
      </c>
      <c r="G8" s="184">
        <v>23</v>
      </c>
      <c r="H8" s="186">
        <f t="shared" ref="H8:H14" si="0">AVERAGE(E8:G8)</f>
        <v>21.333333333333332</v>
      </c>
      <c r="I8" s="185">
        <v>21</v>
      </c>
      <c r="J8" s="185">
        <v>20</v>
      </c>
      <c r="K8" s="185">
        <v>21</v>
      </c>
      <c r="L8" s="186">
        <f t="shared" ref="L8:L16" si="1">AVERAGE(I8:K8)</f>
        <v>20.666666666666668</v>
      </c>
      <c r="M8" s="185">
        <v>22</v>
      </c>
      <c r="N8" s="185">
        <v>22</v>
      </c>
      <c r="O8" s="185">
        <v>22</v>
      </c>
      <c r="P8" s="186">
        <f t="shared" ref="P8:P16" si="2">AVERAGE(M8:O8)</f>
        <v>22</v>
      </c>
      <c r="Q8" s="185">
        <v>21</v>
      </c>
      <c r="R8" s="185">
        <v>20</v>
      </c>
      <c r="S8" s="185">
        <v>23</v>
      </c>
      <c r="T8" s="186">
        <f t="shared" ref="T8:T16" si="3">AVERAGE(Q8:S8)</f>
        <v>21.333333333333332</v>
      </c>
      <c r="U8" s="240">
        <f>SUM(E8:G8,I8:K8,M8:O8,Q8:S8)</f>
        <v>256</v>
      </c>
      <c r="V8" s="241">
        <f>AVERAGE(E8:G8,I8:K8,M8:O8,Q8:S8)</f>
        <v>21.333333333333332</v>
      </c>
      <c r="W8" s="233"/>
      <c r="X8" s="233"/>
    </row>
    <row r="9" spans="1:24" ht="30" customHeight="1" thickTop="1" thickBot="1" x14ac:dyDescent="0.3">
      <c r="A9" s="103" t="s">
        <v>7</v>
      </c>
      <c r="B9" s="994" t="s">
        <v>40</v>
      </c>
      <c r="C9" s="994"/>
      <c r="D9" s="90"/>
      <c r="E9" s="184">
        <v>55</v>
      </c>
      <c r="F9" s="185">
        <v>55</v>
      </c>
      <c r="G9" s="184">
        <v>55</v>
      </c>
      <c r="H9" s="186">
        <f t="shared" si="0"/>
        <v>55</v>
      </c>
      <c r="I9" s="185">
        <v>55</v>
      </c>
      <c r="J9" s="185">
        <v>55</v>
      </c>
      <c r="K9" s="185">
        <v>55</v>
      </c>
      <c r="L9" s="186">
        <f t="shared" si="1"/>
        <v>55</v>
      </c>
      <c r="M9" s="185">
        <v>55</v>
      </c>
      <c r="N9" s="185">
        <v>55</v>
      </c>
      <c r="O9" s="185">
        <v>55</v>
      </c>
      <c r="P9" s="186">
        <f t="shared" si="2"/>
        <v>55</v>
      </c>
      <c r="Q9" s="185">
        <v>55</v>
      </c>
      <c r="R9" s="185">
        <v>55</v>
      </c>
      <c r="S9" s="185">
        <v>55</v>
      </c>
      <c r="T9" s="186">
        <f t="shared" si="3"/>
        <v>55</v>
      </c>
      <c r="U9" s="242" t="s">
        <v>11</v>
      </c>
      <c r="V9" s="241">
        <f>AVERAGE(E9:G9,I9:K9,M9:O9,Q9:S9)</f>
        <v>55</v>
      </c>
      <c r="W9" s="233"/>
      <c r="X9" s="233"/>
    </row>
    <row r="10" spans="1:24" ht="48" customHeight="1" thickTop="1" x14ac:dyDescent="0.35">
      <c r="A10" s="104" t="s">
        <v>12</v>
      </c>
      <c r="B10" s="129" t="s">
        <v>27</v>
      </c>
      <c r="C10" s="30" t="s">
        <v>8</v>
      </c>
      <c r="D10" s="91" t="s">
        <v>9</v>
      </c>
      <c r="E10" s="187">
        <v>63020.3</v>
      </c>
      <c r="F10" s="188">
        <v>60524.3</v>
      </c>
      <c r="G10" s="187">
        <v>71014.399999999994</v>
      </c>
      <c r="H10" s="189">
        <f>AVERAGE(E10:G10)</f>
        <v>64853</v>
      </c>
      <c r="I10" s="188">
        <v>76343.199999999997</v>
      </c>
      <c r="J10" s="188">
        <v>67397.3</v>
      </c>
      <c r="K10" s="188">
        <v>68584.399999999994</v>
      </c>
      <c r="L10" s="189">
        <f t="shared" si="1"/>
        <v>70774.96666666666</v>
      </c>
      <c r="M10" s="188">
        <v>70065.3</v>
      </c>
      <c r="N10" s="188">
        <v>66958.399999999994</v>
      </c>
      <c r="O10" s="188">
        <v>68295</v>
      </c>
      <c r="P10" s="189">
        <f t="shared" si="2"/>
        <v>68439.566666666666</v>
      </c>
      <c r="Q10" s="188">
        <v>69817.3</v>
      </c>
      <c r="R10" s="188">
        <v>70777.7</v>
      </c>
      <c r="S10" s="188">
        <v>78881.7</v>
      </c>
      <c r="T10" s="189">
        <f t="shared" si="3"/>
        <v>73158.900000000009</v>
      </c>
      <c r="U10" s="243">
        <f>+S10+R10+Q10+O10+N10+M10+K10+J10+I10+G10+F10+E10</f>
        <v>831679.3</v>
      </c>
      <c r="V10" s="244">
        <f>+U10/12</f>
        <v>69306.608333333337</v>
      </c>
      <c r="W10" s="233"/>
      <c r="X10" s="233"/>
    </row>
    <row r="11" spans="1:24" ht="30" customHeight="1" x14ac:dyDescent="0.25">
      <c r="A11" s="105"/>
      <c r="B11" s="130" t="s">
        <v>28</v>
      </c>
      <c r="C11" s="21" t="s">
        <v>10</v>
      </c>
      <c r="D11" s="92"/>
      <c r="E11" s="190">
        <v>0.42099999999999999</v>
      </c>
      <c r="F11" s="191">
        <v>0.42099999999999999</v>
      </c>
      <c r="G11" s="192">
        <v>0.41499999999999998</v>
      </c>
      <c r="H11" s="193">
        <f>+H10/H16</f>
        <v>0.41899132746377793</v>
      </c>
      <c r="I11" s="191">
        <v>0.4</v>
      </c>
      <c r="J11" s="191">
        <v>0.42299999999999999</v>
      </c>
      <c r="K11" s="191">
        <v>0.41899999999999998</v>
      </c>
      <c r="L11" s="193">
        <f>+L10/L16</f>
        <v>0.41333870370536202</v>
      </c>
      <c r="M11" s="191">
        <v>0.42099999999999999</v>
      </c>
      <c r="N11" s="191">
        <v>0.41399999999999998</v>
      </c>
      <c r="O11" s="191">
        <v>0.41299999999999998</v>
      </c>
      <c r="P11" s="193">
        <f>+P10/P16</f>
        <v>0.41623492730236211</v>
      </c>
      <c r="Q11" s="191">
        <v>0.41499999999999998</v>
      </c>
      <c r="R11" s="245">
        <v>0.41</v>
      </c>
      <c r="S11" s="245">
        <v>0.40200000000000002</v>
      </c>
      <c r="T11" s="193">
        <f>+T10/T16</f>
        <v>0.40865133164654455</v>
      </c>
      <c r="U11" s="246" t="s">
        <v>11</v>
      </c>
      <c r="V11" s="247">
        <f>U10/U16</f>
        <v>0.41410347975079687</v>
      </c>
      <c r="W11" s="233"/>
      <c r="X11" s="233"/>
    </row>
    <row r="12" spans="1:24" ht="40.5" customHeight="1" x14ac:dyDescent="0.35">
      <c r="A12" s="105"/>
      <c r="B12" s="991" t="s">
        <v>29</v>
      </c>
      <c r="C12" s="24" t="s">
        <v>8</v>
      </c>
      <c r="D12" s="93" t="s">
        <v>9</v>
      </c>
      <c r="E12" s="194">
        <v>57323.3</v>
      </c>
      <c r="F12" s="195">
        <v>56023.7</v>
      </c>
      <c r="G12" s="194">
        <v>66665.100000000006</v>
      </c>
      <c r="H12" s="196">
        <f t="shared" si="0"/>
        <v>60004.033333333333</v>
      </c>
      <c r="I12" s="195">
        <v>78826.899999999994</v>
      </c>
      <c r="J12" s="195">
        <v>60321.3</v>
      </c>
      <c r="K12" s="195">
        <v>62638.2</v>
      </c>
      <c r="L12" s="196">
        <f t="shared" si="1"/>
        <v>67262.133333333346</v>
      </c>
      <c r="M12" s="195">
        <v>63963.9</v>
      </c>
      <c r="N12" s="195">
        <v>62718.1</v>
      </c>
      <c r="O12" s="195">
        <v>63514.5</v>
      </c>
      <c r="P12" s="196">
        <f t="shared" si="2"/>
        <v>63398.833333333336</v>
      </c>
      <c r="Q12" s="195">
        <v>63924.1</v>
      </c>
      <c r="R12" s="195">
        <v>67006</v>
      </c>
      <c r="S12" s="195">
        <v>77295.399999999994</v>
      </c>
      <c r="T12" s="196">
        <f t="shared" si="3"/>
        <v>69408.5</v>
      </c>
      <c r="U12" s="248">
        <f>+S12+R12+Q12+O12+N12+M12+K12+J12+I12+G12+F12+E12</f>
        <v>780220.5</v>
      </c>
      <c r="V12" s="249">
        <f>+U12/12</f>
        <v>65018.375</v>
      </c>
      <c r="W12" s="233"/>
      <c r="X12" s="233"/>
    </row>
    <row r="13" spans="1:24" ht="30" customHeight="1" x14ac:dyDescent="0.25">
      <c r="A13" s="105"/>
      <c r="B13" s="991"/>
      <c r="C13" s="22" t="s">
        <v>10</v>
      </c>
      <c r="D13" s="94"/>
      <c r="E13" s="197">
        <v>0.38300000000000001</v>
      </c>
      <c r="F13" s="198">
        <v>0.39</v>
      </c>
      <c r="G13" s="197">
        <v>0.39</v>
      </c>
      <c r="H13" s="199">
        <f>+H12/H16</f>
        <v>0.38766394121342285</v>
      </c>
      <c r="I13" s="198">
        <v>0.41299999999999998</v>
      </c>
      <c r="J13" s="198">
        <v>0.379</v>
      </c>
      <c r="K13" s="198">
        <v>0.38300000000000001</v>
      </c>
      <c r="L13" s="199">
        <f>+L12/L16</f>
        <v>0.39282311684296889</v>
      </c>
      <c r="M13" s="198">
        <v>0.38400000000000001</v>
      </c>
      <c r="N13" s="198">
        <v>0.38800000000000001</v>
      </c>
      <c r="O13" s="198">
        <v>0.38500000000000001</v>
      </c>
      <c r="P13" s="199">
        <f>+P12/P16</f>
        <v>0.38557825639195908</v>
      </c>
      <c r="Q13" s="198">
        <v>0.38</v>
      </c>
      <c r="R13" s="250">
        <v>0.38800000000000001</v>
      </c>
      <c r="S13" s="250">
        <v>0.39400000000000002</v>
      </c>
      <c r="T13" s="199">
        <f>+T12/T16</f>
        <v>0.38770232948539662</v>
      </c>
      <c r="U13" s="251" t="s">
        <v>11</v>
      </c>
      <c r="V13" s="252">
        <f>U12/U16</f>
        <v>0.38848150245281637</v>
      </c>
      <c r="W13" s="233"/>
      <c r="X13" s="233"/>
    </row>
    <row r="14" spans="1:24" ht="46.5" customHeight="1" x14ac:dyDescent="0.35">
      <c r="A14" s="105"/>
      <c r="B14" s="991" t="s">
        <v>30</v>
      </c>
      <c r="C14" s="23" t="s">
        <v>8</v>
      </c>
      <c r="D14" s="95" t="s">
        <v>9</v>
      </c>
      <c r="E14" s="200">
        <v>29371.599999999999</v>
      </c>
      <c r="F14" s="201">
        <v>27130.5</v>
      </c>
      <c r="G14" s="200">
        <v>33277.699999999997</v>
      </c>
      <c r="H14" s="202">
        <f t="shared" si="0"/>
        <v>29926.599999999995</v>
      </c>
      <c r="I14" s="201">
        <v>35769.4</v>
      </c>
      <c r="J14" s="201">
        <v>31503.200000000001</v>
      </c>
      <c r="K14" s="201">
        <v>32298.9</v>
      </c>
      <c r="L14" s="202">
        <f t="shared" si="1"/>
        <v>33190.5</v>
      </c>
      <c r="M14" s="201">
        <v>32380.1</v>
      </c>
      <c r="N14" s="201">
        <v>32004.7</v>
      </c>
      <c r="O14" s="201">
        <v>33375.9</v>
      </c>
      <c r="P14" s="202">
        <f t="shared" si="2"/>
        <v>32586.900000000005</v>
      </c>
      <c r="Q14" s="201">
        <v>34389.9</v>
      </c>
      <c r="R14" s="201">
        <v>34805.300000000003</v>
      </c>
      <c r="S14" s="201">
        <v>40178.300000000003</v>
      </c>
      <c r="T14" s="202">
        <f t="shared" si="3"/>
        <v>36457.833333333336</v>
      </c>
      <c r="U14" s="248">
        <f>+S14+R14+Q14+O14+N14+M14+K14+J14+I14+G14+F14+E14</f>
        <v>396485.5</v>
      </c>
      <c r="V14" s="253">
        <f>+U14/12</f>
        <v>33040.458333333336</v>
      </c>
      <c r="W14" s="233"/>
      <c r="X14" s="233"/>
    </row>
    <row r="15" spans="1:24" ht="30" customHeight="1" thickBot="1" x14ac:dyDescent="0.3">
      <c r="A15" s="106"/>
      <c r="B15" s="992"/>
      <c r="C15" s="31" t="s">
        <v>10</v>
      </c>
      <c r="D15" s="96"/>
      <c r="E15" s="203">
        <v>0.19600000000000001</v>
      </c>
      <c r="F15" s="204">
        <v>0.189</v>
      </c>
      <c r="G15" s="203">
        <v>0.19500000000000001</v>
      </c>
      <c r="H15" s="205">
        <f>+H14/H16</f>
        <v>0.19334473132279917</v>
      </c>
      <c r="I15" s="204">
        <v>0.187</v>
      </c>
      <c r="J15" s="204">
        <v>0.19800000000000001</v>
      </c>
      <c r="K15" s="204">
        <v>0.19800000000000001</v>
      </c>
      <c r="L15" s="205">
        <f>+L14/L16</f>
        <v>0.19383856879715217</v>
      </c>
      <c r="M15" s="204">
        <v>0.19500000000000001</v>
      </c>
      <c r="N15" s="204">
        <v>0.19800000000000001</v>
      </c>
      <c r="O15" s="204">
        <v>0.20200000000000001</v>
      </c>
      <c r="P15" s="205">
        <f>+P14/P16</f>
        <v>0.198186613579416</v>
      </c>
      <c r="Q15" s="204">
        <v>0.20499999999999999</v>
      </c>
      <c r="R15" s="254">
        <v>0.20200000000000001</v>
      </c>
      <c r="S15" s="254">
        <v>0.20499999999999999</v>
      </c>
      <c r="T15" s="205">
        <f>+T14/T16</f>
        <v>0.20364633886805905</v>
      </c>
      <c r="U15" s="255" t="s">
        <v>11</v>
      </c>
      <c r="V15" s="256">
        <f>U14/U16</f>
        <v>0.19741506758763211</v>
      </c>
      <c r="W15" s="233"/>
      <c r="X15" s="233"/>
    </row>
    <row r="16" spans="1:24" ht="30" customHeight="1" thickTop="1" x14ac:dyDescent="0.25">
      <c r="A16" s="104" t="s">
        <v>17</v>
      </c>
      <c r="B16" s="113" t="s">
        <v>13</v>
      </c>
      <c r="C16" s="114" t="s">
        <v>8</v>
      </c>
      <c r="D16" s="115" t="s">
        <v>9</v>
      </c>
      <c r="E16" s="206">
        <v>149715.20000000001</v>
      </c>
      <c r="F16" s="207">
        <v>143678.5</v>
      </c>
      <c r="G16" s="206">
        <v>170957.2</v>
      </c>
      <c r="H16" s="208">
        <f>AVERAGE(E16:G16)</f>
        <v>154783.63333333333</v>
      </c>
      <c r="I16" s="207">
        <v>190939.4</v>
      </c>
      <c r="J16" s="207">
        <v>159221.70000000001</v>
      </c>
      <c r="K16" s="207">
        <v>163521.5</v>
      </c>
      <c r="L16" s="208">
        <f t="shared" si="1"/>
        <v>171227.53333333333</v>
      </c>
      <c r="M16" s="207">
        <v>166409.29999999999</v>
      </c>
      <c r="N16" s="207">
        <v>161681.20000000001</v>
      </c>
      <c r="O16" s="207">
        <v>165185.5</v>
      </c>
      <c r="P16" s="208">
        <f t="shared" si="2"/>
        <v>164425.33333333334</v>
      </c>
      <c r="Q16" s="207">
        <v>168131.3</v>
      </c>
      <c r="R16" s="207">
        <v>172589</v>
      </c>
      <c r="S16" s="207">
        <v>196355.4</v>
      </c>
      <c r="T16" s="208">
        <f t="shared" si="3"/>
        <v>179025.23333333331</v>
      </c>
      <c r="U16" s="257">
        <f>+S16+R16+Q16+O16+N16+M16+K16+J16+I16+G16+F16+E16</f>
        <v>2008385.1999999997</v>
      </c>
      <c r="V16" s="258">
        <f>+U16/12</f>
        <v>167365.43333333332</v>
      </c>
      <c r="W16" s="233"/>
      <c r="X16" s="233"/>
    </row>
    <row r="17" spans="1:24" ht="30" customHeight="1" x14ac:dyDescent="0.25">
      <c r="A17" s="105"/>
      <c r="B17" s="10" t="s">
        <v>14</v>
      </c>
      <c r="C17" s="12" t="s">
        <v>15</v>
      </c>
      <c r="D17" s="98" t="s">
        <v>9</v>
      </c>
      <c r="E17" s="209">
        <f>E16/E8</f>
        <v>7129.2952380952383</v>
      </c>
      <c r="F17" s="210">
        <f>F16/F8</f>
        <v>7183.9250000000002</v>
      </c>
      <c r="G17" s="209">
        <f>G16/G8</f>
        <v>7432.9217391304355</v>
      </c>
      <c r="H17" s="211">
        <f>SUM(E16:G16)/SUM(E8:G8)</f>
        <v>7255.4828125000004</v>
      </c>
      <c r="I17" s="210">
        <f>I16/I8</f>
        <v>9092.3523809523813</v>
      </c>
      <c r="J17" s="210">
        <f>J16/J8</f>
        <v>7961.0850000000009</v>
      </c>
      <c r="K17" s="210">
        <f>K16/K8</f>
        <v>7786.7380952380954</v>
      </c>
      <c r="L17" s="211">
        <f>SUM(I16:K16)/SUM(I8:K8)</f>
        <v>8285.2032258064519</v>
      </c>
      <c r="M17" s="210">
        <f>M16/M8</f>
        <v>7564.0590909090906</v>
      </c>
      <c r="N17" s="210">
        <f>N16/N8</f>
        <v>7349.1454545454553</v>
      </c>
      <c r="O17" s="210">
        <f>O16/O8</f>
        <v>7508.431818181818</v>
      </c>
      <c r="P17" s="211">
        <f>SUM(M16:O16)/SUM(M8:O8)</f>
        <v>7473.878787878788</v>
      </c>
      <c r="Q17" s="210">
        <f>Q16/Q8</f>
        <v>8006.25238095238</v>
      </c>
      <c r="R17" s="210">
        <f>R16/R8</f>
        <v>8629.4500000000007</v>
      </c>
      <c r="S17" s="210">
        <f>S16/S8</f>
        <v>8537.1913043478253</v>
      </c>
      <c r="T17" s="211">
        <f>SUM(Q16:S16)/SUM(Q8:S8)</f>
        <v>8391.8078124999993</v>
      </c>
      <c r="U17" s="259" t="s">
        <v>11</v>
      </c>
      <c r="V17" s="260">
        <f>U16/U8</f>
        <v>7845.2546874999989</v>
      </c>
      <c r="W17" s="233"/>
      <c r="X17" s="233"/>
    </row>
    <row r="18" spans="1:24" s="27" customFormat="1" ht="40.5" customHeight="1" x14ac:dyDescent="0.35">
      <c r="A18" s="107"/>
      <c r="B18" s="15" t="s">
        <v>36</v>
      </c>
      <c r="C18" s="23" t="s">
        <v>8</v>
      </c>
      <c r="D18" s="95" t="s">
        <v>9</v>
      </c>
      <c r="E18" s="200">
        <v>149218.70000000001</v>
      </c>
      <c r="F18" s="201">
        <v>143171.6</v>
      </c>
      <c r="G18" s="200">
        <v>170342.7</v>
      </c>
      <c r="H18" s="202">
        <f>AVERAGE(E18:G18)</f>
        <v>154244.33333333334</v>
      </c>
      <c r="I18" s="201">
        <v>190375.8</v>
      </c>
      <c r="J18" s="201">
        <v>158679.79999999999</v>
      </c>
      <c r="K18" s="201">
        <v>162941.4</v>
      </c>
      <c r="L18" s="202">
        <f>AVERAGE(I18:K18)</f>
        <v>170665.66666666666</v>
      </c>
      <c r="M18" s="201">
        <v>165825.70000000001</v>
      </c>
      <c r="N18" s="201">
        <v>161026.4</v>
      </c>
      <c r="O18" s="201">
        <v>164510.9</v>
      </c>
      <c r="P18" s="202">
        <f>AVERAGE(M18:O18)</f>
        <v>163787.66666666666</v>
      </c>
      <c r="Q18" s="201">
        <v>167452.9</v>
      </c>
      <c r="R18" s="201">
        <v>171816.9</v>
      </c>
      <c r="S18" s="201">
        <v>195594.3</v>
      </c>
      <c r="T18" s="202">
        <f>AVERAGE(Q18:S18)</f>
        <v>178288.03333333333</v>
      </c>
      <c r="U18" s="248">
        <f>+S18+R18+Q18+O18+N18+M18+K18+J18+I18+G18+F18+E18</f>
        <v>2000957.1</v>
      </c>
      <c r="V18" s="253">
        <f>+U18/12</f>
        <v>166746.42500000002</v>
      </c>
      <c r="W18" s="234"/>
      <c r="X18" s="234"/>
    </row>
    <row r="19" spans="1:24" s="25" customFormat="1" ht="30" customHeight="1" x14ac:dyDescent="0.25">
      <c r="A19" s="108"/>
      <c r="B19" s="9" t="s">
        <v>32</v>
      </c>
      <c r="C19" s="26" t="s">
        <v>10</v>
      </c>
      <c r="D19" s="94"/>
      <c r="E19" s="197">
        <v>0.997</v>
      </c>
      <c r="F19" s="198">
        <v>0.996</v>
      </c>
      <c r="G19" s="197">
        <v>0.996</v>
      </c>
      <c r="H19" s="199">
        <f>+H18/H16</f>
        <v>0.99651578149197095</v>
      </c>
      <c r="I19" s="198">
        <v>0.997</v>
      </c>
      <c r="J19" s="198">
        <v>0.997</v>
      </c>
      <c r="K19" s="198">
        <v>0.996</v>
      </c>
      <c r="L19" s="199">
        <f>+L18/L16</f>
        <v>0.99671859626936943</v>
      </c>
      <c r="M19" s="198">
        <v>0.996</v>
      </c>
      <c r="N19" s="198">
        <v>0.996</v>
      </c>
      <c r="O19" s="198">
        <v>0.996</v>
      </c>
      <c r="P19" s="199">
        <f>+P18/P16</f>
        <v>0.99612184659298231</v>
      </c>
      <c r="Q19" s="198">
        <v>0.996</v>
      </c>
      <c r="R19" s="250">
        <v>0.996</v>
      </c>
      <c r="S19" s="198">
        <v>0.996</v>
      </c>
      <c r="T19" s="199">
        <f>+T18/T16</f>
        <v>0.99588214473304237</v>
      </c>
      <c r="U19" s="251" t="s">
        <v>11</v>
      </c>
      <c r="V19" s="252">
        <f>+U18/U16</f>
        <v>0.99630145651342206</v>
      </c>
      <c r="W19" s="235"/>
      <c r="X19" s="235"/>
    </row>
    <row r="20" spans="1:24" s="27" customFormat="1" ht="40.5" customHeight="1" x14ac:dyDescent="0.35">
      <c r="A20" s="107"/>
      <c r="B20" s="15" t="s">
        <v>36</v>
      </c>
      <c r="C20" s="23" t="s">
        <v>8</v>
      </c>
      <c r="D20" s="95" t="s">
        <v>9</v>
      </c>
      <c r="E20" s="200">
        <v>496.5</v>
      </c>
      <c r="F20" s="201">
        <v>506.9</v>
      </c>
      <c r="G20" s="200">
        <v>614.5</v>
      </c>
      <c r="H20" s="202">
        <f>AVERAGE(E20:G20)</f>
        <v>539.30000000000007</v>
      </c>
      <c r="I20" s="201">
        <v>563.6</v>
      </c>
      <c r="J20" s="201">
        <v>542</v>
      </c>
      <c r="K20" s="201">
        <v>580.1</v>
      </c>
      <c r="L20" s="202">
        <f>AVERAGE(I20:K20)</f>
        <v>561.9</v>
      </c>
      <c r="M20" s="201">
        <v>583.6</v>
      </c>
      <c r="N20" s="201">
        <v>654.79999999999995</v>
      </c>
      <c r="O20" s="201">
        <v>674.5</v>
      </c>
      <c r="P20" s="202">
        <f>AVERAGE(M20:O20)</f>
        <v>637.63333333333333</v>
      </c>
      <c r="Q20" s="201">
        <v>678.4</v>
      </c>
      <c r="R20" s="201">
        <v>772.1</v>
      </c>
      <c r="S20" s="201">
        <v>761.1</v>
      </c>
      <c r="T20" s="202">
        <f>AVERAGE(Q20:S20)</f>
        <v>737.19999999999993</v>
      </c>
      <c r="U20" s="248">
        <f>+S20+R20+Q20+O20+N20+M20+K20+J20+I20+G20+F20+E20</f>
        <v>7428.1</v>
      </c>
      <c r="V20" s="253">
        <f>+U20/12</f>
        <v>619.00833333333333</v>
      </c>
      <c r="W20" s="234"/>
      <c r="X20" s="234"/>
    </row>
    <row r="21" spans="1:24" s="25" customFormat="1" ht="30" customHeight="1" thickBot="1" x14ac:dyDescent="0.3">
      <c r="A21" s="109"/>
      <c r="B21" s="32" t="s">
        <v>31</v>
      </c>
      <c r="C21" s="33" t="s">
        <v>10</v>
      </c>
      <c r="D21" s="96"/>
      <c r="E21" s="203">
        <v>3.0000000000000001E-3</v>
      </c>
      <c r="F21" s="204">
        <v>4.0000000000000001E-3</v>
      </c>
      <c r="G21" s="203">
        <v>4.0000000000000001E-3</v>
      </c>
      <c r="H21" s="205">
        <f>+H20/H16</f>
        <v>3.4842185080291655E-3</v>
      </c>
      <c r="I21" s="204">
        <v>3.0000000000000001E-3</v>
      </c>
      <c r="J21" s="204">
        <v>3.0000000000000001E-3</v>
      </c>
      <c r="K21" s="204">
        <v>4.0000000000000001E-3</v>
      </c>
      <c r="L21" s="205">
        <f>+L20/L16</f>
        <v>3.2815984033720434E-3</v>
      </c>
      <c r="M21" s="204">
        <v>4.0000000000000001E-3</v>
      </c>
      <c r="N21" s="204">
        <v>4.0000000000000001E-3</v>
      </c>
      <c r="O21" s="204">
        <v>4.0000000000000001E-3</v>
      </c>
      <c r="P21" s="205">
        <f>+P20/P16</f>
        <v>3.87795068075479E-3</v>
      </c>
      <c r="Q21" s="204">
        <v>4.0000000000000001E-3</v>
      </c>
      <c r="R21" s="254">
        <v>4.0000000000000001E-3</v>
      </c>
      <c r="S21" s="254">
        <v>4.0000000000000001E-3</v>
      </c>
      <c r="T21" s="205">
        <f>+T20/T16</f>
        <v>4.1178552669577121E-3</v>
      </c>
      <c r="U21" s="255" t="s">
        <v>11</v>
      </c>
      <c r="V21" s="256">
        <f>+U20/U16</f>
        <v>3.698543486578173E-3</v>
      </c>
      <c r="W21" s="235"/>
      <c r="X21" s="235"/>
    </row>
    <row r="22" spans="1:24" ht="30" customHeight="1" thickTop="1" x14ac:dyDescent="0.25">
      <c r="A22" s="104" t="s">
        <v>24</v>
      </c>
      <c r="B22" s="113" t="s">
        <v>37</v>
      </c>
      <c r="C22" s="114" t="s">
        <v>19</v>
      </c>
      <c r="D22" s="115" t="s">
        <v>16</v>
      </c>
      <c r="E22" s="206">
        <v>55385</v>
      </c>
      <c r="F22" s="207">
        <v>55821.7</v>
      </c>
      <c r="G22" s="206">
        <v>63752.5</v>
      </c>
      <c r="H22" s="208">
        <f>AVERAGE(E22:G22)</f>
        <v>58319.733333333337</v>
      </c>
      <c r="I22" s="207">
        <v>60891.4</v>
      </c>
      <c r="J22" s="207">
        <v>56969</v>
      </c>
      <c r="K22" s="207">
        <v>61644.6</v>
      </c>
      <c r="L22" s="208">
        <f>AVERAGE(I22:K22)</f>
        <v>59835</v>
      </c>
      <c r="M22" s="207">
        <v>62934.7</v>
      </c>
      <c r="N22" s="207">
        <v>59380.800000000003</v>
      </c>
      <c r="O22" s="207">
        <v>61190.1</v>
      </c>
      <c r="P22" s="208">
        <f>AVERAGE(M22:O22)</f>
        <v>61168.533333333333</v>
      </c>
      <c r="Q22" s="207">
        <v>61915.4</v>
      </c>
      <c r="R22" s="207">
        <v>64050.6</v>
      </c>
      <c r="S22" s="207">
        <v>70610</v>
      </c>
      <c r="T22" s="208">
        <f>AVERAGE(Q22:S22)</f>
        <v>65525.333333333336</v>
      </c>
      <c r="U22" s="257">
        <f>+S22+R22+Q22+O22+N22+M22+K22+J22+I22+G22+F22+E22</f>
        <v>734545.79999999993</v>
      </c>
      <c r="V22" s="261">
        <f>+U22/12</f>
        <v>61212.149999999994</v>
      </c>
      <c r="W22" s="317">
        <f>SUM(M22:O22)</f>
        <v>183505.6</v>
      </c>
      <c r="X22" s="233"/>
    </row>
    <row r="23" spans="1:24" ht="30" customHeight="1" x14ac:dyDescent="0.25">
      <c r="A23" s="105"/>
      <c r="B23" s="10" t="s">
        <v>14</v>
      </c>
      <c r="C23" s="29" t="s">
        <v>38</v>
      </c>
      <c r="D23" s="99" t="s">
        <v>16</v>
      </c>
      <c r="E23" s="212">
        <f>E22/E8</f>
        <v>2637.3809523809523</v>
      </c>
      <c r="F23" s="213">
        <f>F22/F8</f>
        <v>2791.085</v>
      </c>
      <c r="G23" s="212">
        <f>G22/G8</f>
        <v>2771.8478260869565</v>
      </c>
      <c r="H23" s="214">
        <f>SUM(E22:G22)/SUM(E8:G8)</f>
        <v>2733.7375000000002</v>
      </c>
      <c r="I23" s="213">
        <f>I22/I8</f>
        <v>2899.5904761904762</v>
      </c>
      <c r="J23" s="213">
        <f>J22/J8</f>
        <v>2848.45</v>
      </c>
      <c r="K23" s="213">
        <f>K22/K8</f>
        <v>2935.4571428571426</v>
      </c>
      <c r="L23" s="214">
        <f>SUM(I22:K22)/SUM(I8:K8)</f>
        <v>2895.2419354838707</v>
      </c>
      <c r="M23" s="213">
        <f>M22/M8</f>
        <v>2860.6681818181819</v>
      </c>
      <c r="N23" s="213">
        <f>N22/N8</f>
        <v>2699.1272727272731</v>
      </c>
      <c r="O23" s="213">
        <f>O22/O8</f>
        <v>2781.3681818181817</v>
      </c>
      <c r="P23" s="214">
        <f>SUM(M22:O22)/SUM(M8:O8)</f>
        <v>2780.3878787878789</v>
      </c>
      <c r="Q23" s="213">
        <f>Q22/Q8</f>
        <v>2948.3523809523808</v>
      </c>
      <c r="R23" s="213">
        <f>R22/R8</f>
        <v>3202.5299999999997</v>
      </c>
      <c r="S23" s="213">
        <f>S22/S8</f>
        <v>3070</v>
      </c>
      <c r="T23" s="214">
        <f>SUM(Q22:S22)/SUM(Q8:S8)</f>
        <v>3071.5</v>
      </c>
      <c r="U23" s="262"/>
      <c r="V23" s="263">
        <f>+U22/U8</f>
        <v>2869.3195312499997</v>
      </c>
      <c r="W23" s="233"/>
      <c r="X23" s="233"/>
    </row>
    <row r="24" spans="1:24" s="27" customFormat="1" ht="42.75" customHeight="1" x14ac:dyDescent="0.35">
      <c r="A24" s="107"/>
      <c r="B24" s="15" t="s">
        <v>36</v>
      </c>
      <c r="C24" s="86" t="s">
        <v>19</v>
      </c>
      <c r="D24" s="95" t="s">
        <v>16</v>
      </c>
      <c r="E24" s="200">
        <v>54802.1</v>
      </c>
      <c r="F24" s="201">
        <v>55231.3</v>
      </c>
      <c r="G24" s="200">
        <v>63099.9</v>
      </c>
      <c r="H24" s="202">
        <f>AVERAGE(E24:G24)</f>
        <v>57711.1</v>
      </c>
      <c r="I24" s="201">
        <v>60289.7</v>
      </c>
      <c r="J24" s="201">
        <v>56357.1</v>
      </c>
      <c r="K24" s="201">
        <v>60936.6</v>
      </c>
      <c r="L24" s="202">
        <f>AVERAGE(I24:K24)</f>
        <v>59194.466666666667</v>
      </c>
      <c r="M24" s="201">
        <v>62296.800000000003</v>
      </c>
      <c r="N24" s="201">
        <v>58656.5</v>
      </c>
      <c r="O24" s="201">
        <v>60514.5</v>
      </c>
      <c r="P24" s="202">
        <f>AVERAGE(M24:O24)</f>
        <v>60489.266666666663</v>
      </c>
      <c r="Q24" s="201">
        <v>61258.2</v>
      </c>
      <c r="R24" s="201">
        <v>63307.9</v>
      </c>
      <c r="S24" s="201">
        <v>69814.100000000006</v>
      </c>
      <c r="T24" s="202">
        <f>AVERAGE(Q24:S24)</f>
        <v>64793.4</v>
      </c>
      <c r="U24" s="248">
        <f>+S24+R24+Q24+O24+N24+M24+K24+J24+I24+G24+F24+E24</f>
        <v>726564.7</v>
      </c>
      <c r="V24" s="253">
        <f>+U24/12</f>
        <v>60547.058333333327</v>
      </c>
      <c r="W24" s="234"/>
      <c r="X24" s="234"/>
    </row>
    <row r="25" spans="1:24" s="25" customFormat="1" ht="30" customHeight="1" x14ac:dyDescent="0.25">
      <c r="A25" s="108"/>
      <c r="B25" s="9" t="s">
        <v>32</v>
      </c>
      <c r="C25" s="20" t="s">
        <v>21</v>
      </c>
      <c r="D25" s="94"/>
      <c r="E25" s="197">
        <f>E24/E22</f>
        <v>0.98947548975354338</v>
      </c>
      <c r="F25" s="198">
        <f>F24/F22</f>
        <v>0.98942346793451308</v>
      </c>
      <c r="G25" s="197">
        <f>G24/G22</f>
        <v>0.98976353868475753</v>
      </c>
      <c r="H25" s="199">
        <f>+H24/H22</f>
        <v>0.9895638526010635</v>
      </c>
      <c r="I25" s="198">
        <v>0.99</v>
      </c>
      <c r="J25" s="198">
        <v>0.98899999999999999</v>
      </c>
      <c r="K25" s="198">
        <v>0.98899999999999999</v>
      </c>
      <c r="L25" s="199">
        <f>+L24/L22</f>
        <v>0.98929500571014739</v>
      </c>
      <c r="M25" s="198">
        <v>0.99</v>
      </c>
      <c r="N25" s="198">
        <v>0.98799999999999999</v>
      </c>
      <c r="O25" s="198">
        <v>0.98899999999999999</v>
      </c>
      <c r="P25" s="199">
        <f>+P24/P22</f>
        <v>0.98889516178252868</v>
      </c>
      <c r="Q25" s="198">
        <v>0.98899999999999999</v>
      </c>
      <c r="R25" s="250">
        <v>0.98799999999999999</v>
      </c>
      <c r="S25" s="198">
        <v>0.98899999999999999</v>
      </c>
      <c r="T25" s="199">
        <f>+T24/T22</f>
        <v>0.98882976558684677</v>
      </c>
      <c r="U25" s="264" t="s">
        <v>11</v>
      </c>
      <c r="V25" s="265">
        <f>+U24/U22</f>
        <v>0.98913464619905256</v>
      </c>
      <c r="W25" s="235"/>
      <c r="X25" s="236"/>
    </row>
    <row r="26" spans="1:24" s="27" customFormat="1" ht="37.5" customHeight="1" x14ac:dyDescent="0.35">
      <c r="A26" s="107"/>
      <c r="B26" s="15" t="s">
        <v>36</v>
      </c>
      <c r="C26" s="87" t="s">
        <v>19</v>
      </c>
      <c r="D26" s="95" t="s">
        <v>16</v>
      </c>
      <c r="E26" s="200">
        <v>582.9</v>
      </c>
      <c r="F26" s="201">
        <v>590.4</v>
      </c>
      <c r="G26" s="200">
        <v>652.6</v>
      </c>
      <c r="H26" s="202">
        <f>AVERAGE(E26:G26)</f>
        <v>608.63333333333333</v>
      </c>
      <c r="I26" s="201">
        <v>601.70000000000005</v>
      </c>
      <c r="J26" s="201">
        <v>611.9</v>
      </c>
      <c r="K26" s="201">
        <v>708</v>
      </c>
      <c r="L26" s="202">
        <f>AVERAGE(I26:K26)</f>
        <v>640.5333333333333</v>
      </c>
      <c r="M26" s="201">
        <v>637.9</v>
      </c>
      <c r="N26" s="201">
        <v>724.4</v>
      </c>
      <c r="O26" s="201">
        <v>675.6</v>
      </c>
      <c r="P26" s="202">
        <f>AVERAGE(M26:O26)</f>
        <v>679.30000000000007</v>
      </c>
      <c r="Q26" s="201">
        <v>657.2</v>
      </c>
      <c r="R26" s="201">
        <v>742.6</v>
      </c>
      <c r="S26" s="201">
        <v>795.9</v>
      </c>
      <c r="T26" s="202">
        <f>AVERAGE(Q26:S26)</f>
        <v>731.90000000000009</v>
      </c>
      <c r="U26" s="248">
        <f>+S26+R26+Q26+O26+N26+M26+K26+J26+I26+G26+F26+E26</f>
        <v>7981.0999999999985</v>
      </c>
      <c r="V26" s="266">
        <f>+U26/12</f>
        <v>665.09166666666658</v>
      </c>
      <c r="W26" s="234"/>
      <c r="X26" s="234"/>
    </row>
    <row r="27" spans="1:24" s="25" customFormat="1" ht="30" customHeight="1" thickBot="1" x14ac:dyDescent="0.3">
      <c r="A27" s="109"/>
      <c r="B27" s="32" t="s">
        <v>31</v>
      </c>
      <c r="C27" s="33" t="s">
        <v>21</v>
      </c>
      <c r="D27" s="96"/>
      <c r="E27" s="203">
        <f>E26/E22</f>
        <v>1.0524510246456622E-2</v>
      </c>
      <c r="F27" s="204">
        <f>F26/F22</f>
        <v>1.0576532065487077E-2</v>
      </c>
      <c r="G27" s="203">
        <f>G26/G22</f>
        <v>1.0236461315242539E-2</v>
      </c>
      <c r="H27" s="205">
        <f>+H26/H22</f>
        <v>1.0436147398936437E-2</v>
      </c>
      <c r="I27" s="204">
        <v>0.01</v>
      </c>
      <c r="J27" s="204">
        <v>1.0999999999999999E-2</v>
      </c>
      <c r="K27" s="204">
        <v>1.0999999999999999E-2</v>
      </c>
      <c r="L27" s="205">
        <f>+L26/L22</f>
        <v>1.0704994289852649E-2</v>
      </c>
      <c r="M27" s="204">
        <f>+M26/(M26+M24)</f>
        <v>1.0135902769060628E-2</v>
      </c>
      <c r="N27" s="204">
        <f>+N26/(N26+N24)</f>
        <v>1.2199208836511403E-2</v>
      </c>
      <c r="O27" s="204">
        <f>+O26/(O26+O24)</f>
        <v>1.104100173067212E-2</v>
      </c>
      <c r="P27" s="205">
        <f>+P26/P22</f>
        <v>1.1105383159968962E-2</v>
      </c>
      <c r="Q27" s="204">
        <v>1.0999999999999999E-2</v>
      </c>
      <c r="R27" s="254">
        <v>1.2E-2</v>
      </c>
      <c r="S27" s="254">
        <v>1.0999999999999999E-2</v>
      </c>
      <c r="T27" s="205">
        <f>+T26/T22</f>
        <v>1.1169725704053396E-2</v>
      </c>
      <c r="U27" s="267" t="s">
        <v>11</v>
      </c>
      <c r="V27" s="268">
        <f>+U26/U22</f>
        <v>1.0865353800947469E-2</v>
      </c>
      <c r="W27" s="235"/>
      <c r="X27" s="235"/>
    </row>
    <row r="28" spans="1:24" ht="30" customHeight="1" thickTop="1" x14ac:dyDescent="0.25">
      <c r="A28" s="104" t="s">
        <v>33</v>
      </c>
      <c r="B28" s="113" t="s">
        <v>34</v>
      </c>
      <c r="C28" s="177" t="s">
        <v>18</v>
      </c>
      <c r="D28" s="97"/>
      <c r="E28" s="215">
        <v>1954</v>
      </c>
      <c r="F28" s="216">
        <v>1977</v>
      </c>
      <c r="G28" s="215">
        <v>1986</v>
      </c>
      <c r="H28" s="217">
        <f>AVERAGE(E28:G28)</f>
        <v>1972.3333333333333</v>
      </c>
      <c r="I28" s="216">
        <v>2118</v>
      </c>
      <c r="J28" s="216">
        <v>2112</v>
      </c>
      <c r="K28" s="216">
        <v>2108</v>
      </c>
      <c r="L28" s="217">
        <f>AVERAGE(I28:K28)</f>
        <v>2112.6666666666665</v>
      </c>
      <c r="M28" s="216">
        <v>1950</v>
      </c>
      <c r="N28" s="216">
        <v>1927</v>
      </c>
      <c r="O28" s="216">
        <v>1924</v>
      </c>
      <c r="P28" s="217">
        <f>AVERAGE(M28:O28)</f>
        <v>1933.6666666666667</v>
      </c>
      <c r="Q28" s="216">
        <v>1927</v>
      </c>
      <c r="R28" s="216">
        <v>1627</v>
      </c>
      <c r="S28" s="216">
        <v>1548</v>
      </c>
      <c r="T28" s="217">
        <f>AVERAGE(Q28:S28)</f>
        <v>1700.6666666666667</v>
      </c>
      <c r="U28" s="269" t="s">
        <v>11</v>
      </c>
      <c r="V28" s="270">
        <f>AVERAGE(E28:G28,I28:K28,M28:O28,Q28:S28)</f>
        <v>1929.8333333333333</v>
      </c>
      <c r="W28" s="233"/>
      <c r="X28" s="233"/>
    </row>
    <row r="29" spans="1:24" ht="30" customHeight="1" x14ac:dyDescent="0.25">
      <c r="A29" s="110"/>
      <c r="B29" s="11"/>
      <c r="C29" s="119" t="s">
        <v>19</v>
      </c>
      <c r="D29" s="120" t="s">
        <v>16</v>
      </c>
      <c r="E29" s="218">
        <v>47230.5</v>
      </c>
      <c r="F29" s="219">
        <v>49183.9</v>
      </c>
      <c r="G29" s="218">
        <v>56763.1</v>
      </c>
      <c r="H29" s="220">
        <f>AVERAGE(E29:G29)</f>
        <v>51059.166666666664</v>
      </c>
      <c r="I29" s="219">
        <v>55898.8</v>
      </c>
      <c r="J29" s="219">
        <v>52698.1</v>
      </c>
      <c r="K29" s="219">
        <v>57531.9</v>
      </c>
      <c r="L29" s="220">
        <f>AVERAGE(I29:K29)</f>
        <v>55376.266666666663</v>
      </c>
      <c r="M29" s="219">
        <v>62934.7</v>
      </c>
      <c r="N29" s="219">
        <v>59380.3</v>
      </c>
      <c r="O29" s="219">
        <v>61190.1</v>
      </c>
      <c r="P29" s="220">
        <f>AVERAGE(M29:O29)</f>
        <v>61168.366666666669</v>
      </c>
      <c r="Q29" s="219">
        <v>61915.4</v>
      </c>
      <c r="R29" s="219">
        <v>64050.6</v>
      </c>
      <c r="S29" s="219">
        <v>70610</v>
      </c>
      <c r="T29" s="220">
        <f>AVERAGE(Q29:S29)</f>
        <v>65525.333333333336</v>
      </c>
      <c r="U29" s="271">
        <f>+S29+R29+Q29+O29+N29+M29+K29+J29+I29+G29+F29+E29</f>
        <v>699387.4</v>
      </c>
      <c r="V29" s="272">
        <f>+U29/12</f>
        <v>58282.283333333333</v>
      </c>
      <c r="W29" s="233"/>
      <c r="X29" s="233"/>
    </row>
    <row r="30" spans="1:24" ht="30" customHeight="1" x14ac:dyDescent="0.25">
      <c r="A30" s="110"/>
      <c r="B30" s="11"/>
      <c r="C30" s="2" t="s">
        <v>20</v>
      </c>
      <c r="D30" s="100" t="s">
        <v>16</v>
      </c>
      <c r="E30" s="221">
        <f>E29/E8</f>
        <v>2249.0714285714284</v>
      </c>
      <c r="F30" s="222">
        <f>F29/F8</f>
        <v>2459.1950000000002</v>
      </c>
      <c r="G30" s="221">
        <f>G29/G8</f>
        <v>2467.9608695652173</v>
      </c>
      <c r="H30" s="223">
        <f>SUM(E29:G29)/SUM(E8:G8)</f>
        <v>2393.3984375</v>
      </c>
      <c r="I30" s="222">
        <f>I29/I8</f>
        <v>2661.847619047619</v>
      </c>
      <c r="J30" s="222">
        <f>J29/J8</f>
        <v>2634.9049999999997</v>
      </c>
      <c r="K30" s="222">
        <f>K29/K8</f>
        <v>2739.6142857142859</v>
      </c>
      <c r="L30" s="223">
        <f>SUM(I29:K29)/SUM(I8:K8)</f>
        <v>2679.4967741935484</v>
      </c>
      <c r="M30" s="222">
        <f>M29/M8</f>
        <v>2860.6681818181819</v>
      </c>
      <c r="N30" s="222">
        <f>N29/N8</f>
        <v>2699.1045454545456</v>
      </c>
      <c r="O30" s="222">
        <f>O29/O8</f>
        <v>2781.3681818181817</v>
      </c>
      <c r="P30" s="223">
        <f>SUM(M29:O29)/SUM(M8:O8)</f>
        <v>2780.3803030303029</v>
      </c>
      <c r="Q30" s="222">
        <f>Q29/Q8</f>
        <v>2948.3523809523808</v>
      </c>
      <c r="R30" s="222">
        <f>R29/R8</f>
        <v>3202.5299999999997</v>
      </c>
      <c r="S30" s="222">
        <f>S29/S8</f>
        <v>3070</v>
      </c>
      <c r="T30" s="223">
        <f>SUM(Q29:S29)/SUM(Q8:S8)</f>
        <v>3071.5</v>
      </c>
      <c r="U30" s="273" t="s">
        <v>25</v>
      </c>
      <c r="V30" s="274">
        <f>U29/U8</f>
        <v>2731.9820312500001</v>
      </c>
      <c r="W30" s="233"/>
      <c r="X30" s="233"/>
    </row>
    <row r="31" spans="1:24" ht="30" customHeight="1" x14ac:dyDescent="0.25">
      <c r="A31" s="110"/>
      <c r="B31" s="11"/>
      <c r="C31" s="2" t="s">
        <v>21</v>
      </c>
      <c r="D31" s="100"/>
      <c r="E31" s="224">
        <f>E29/E22</f>
        <v>0.85276699467364814</v>
      </c>
      <c r="F31" s="225">
        <f>F29/F22</f>
        <v>0.88108925382064684</v>
      </c>
      <c r="G31" s="224">
        <f>G29/G22</f>
        <v>0.89036665228814549</v>
      </c>
      <c r="H31" s="226">
        <f>+H29/H22</f>
        <v>0.87550411753140156</v>
      </c>
      <c r="I31" s="225">
        <v>0.91800000000000004</v>
      </c>
      <c r="J31" s="225">
        <v>0.92500000000000004</v>
      </c>
      <c r="K31" s="225">
        <v>0.93300000000000005</v>
      </c>
      <c r="L31" s="226">
        <f>+L29/L22</f>
        <v>0.92548285563076227</v>
      </c>
      <c r="M31" s="225">
        <v>1</v>
      </c>
      <c r="N31" s="225">
        <v>1</v>
      </c>
      <c r="O31" s="225">
        <v>1</v>
      </c>
      <c r="P31" s="226">
        <f>AVERAGE(M31:O31)</f>
        <v>1</v>
      </c>
      <c r="Q31" s="225">
        <v>1</v>
      </c>
      <c r="R31" s="278">
        <v>1</v>
      </c>
      <c r="S31" s="278">
        <v>1</v>
      </c>
      <c r="T31" s="226">
        <f>AVERAGE(Q31:S31)</f>
        <v>1</v>
      </c>
      <c r="U31" s="273" t="s">
        <v>11</v>
      </c>
      <c r="V31" s="275">
        <f>+U29/U22</f>
        <v>0.95213586409451945</v>
      </c>
      <c r="W31" s="233"/>
      <c r="X31" s="233"/>
    </row>
    <row r="32" spans="1:24" ht="30" customHeight="1" x14ac:dyDescent="0.25">
      <c r="A32" s="110"/>
      <c r="B32" s="11"/>
      <c r="C32" s="2" t="s">
        <v>22</v>
      </c>
      <c r="D32" s="100" t="s">
        <v>23</v>
      </c>
      <c r="E32" s="221">
        <v>3.1</v>
      </c>
      <c r="F32" s="222">
        <v>2.9</v>
      </c>
      <c r="G32" s="221">
        <v>3</v>
      </c>
      <c r="H32" s="223">
        <f>AVERAGE(E32:G32)</f>
        <v>3</v>
      </c>
      <c r="I32" s="222">
        <v>3.4</v>
      </c>
      <c r="J32" s="222">
        <v>3</v>
      </c>
      <c r="K32" s="222">
        <v>2.8</v>
      </c>
      <c r="L32" s="223">
        <f>SUM(I33:K33)/SUM(I29:K29)</f>
        <v>3.0673146377991056</v>
      </c>
      <c r="M32" s="222">
        <v>2.6</v>
      </c>
      <c r="N32" s="222">
        <v>2.7</v>
      </c>
      <c r="O32" s="222">
        <v>2.7</v>
      </c>
      <c r="P32" s="223">
        <f>SUM(M33:O33)/SUM(M29:O29)</f>
        <v>2.6880778790344246</v>
      </c>
      <c r="Q32" s="222">
        <v>2.7</v>
      </c>
      <c r="R32" s="222">
        <v>2.7</v>
      </c>
      <c r="S32" s="222">
        <v>2.8</v>
      </c>
      <c r="T32" s="223">
        <f>SUM(Q33:S33)/SUM(Q29:S29)</f>
        <v>2.732152958652124</v>
      </c>
      <c r="U32" s="262" t="s">
        <v>11</v>
      </c>
      <c r="V32" s="274">
        <f>AVERAGE(E32:G32,I32:K32,M32:O32,Q32:S32)</f>
        <v>2.8666666666666667</v>
      </c>
      <c r="W32" s="233"/>
      <c r="X32" s="233"/>
    </row>
    <row r="33" spans="1:24" ht="30" customHeight="1" x14ac:dyDescent="0.25">
      <c r="A33" s="110"/>
      <c r="B33" s="11"/>
      <c r="C33" s="124" t="s">
        <v>26</v>
      </c>
      <c r="D33" s="125" t="s">
        <v>9</v>
      </c>
      <c r="E33" s="230">
        <v>147453.4</v>
      </c>
      <c r="F33" s="231">
        <v>141731.4</v>
      </c>
      <c r="G33" s="230">
        <v>168862.2</v>
      </c>
      <c r="H33" s="232">
        <f>AVERAGE(E33:G33)</f>
        <v>152682.33333333334</v>
      </c>
      <c r="I33" s="231">
        <v>189358</v>
      </c>
      <c r="J33" s="231">
        <v>157960.6</v>
      </c>
      <c r="K33" s="231">
        <v>162250.70000000001</v>
      </c>
      <c r="L33" s="232">
        <f>AVERAGE(I33:K33)</f>
        <v>169856.43333333332</v>
      </c>
      <c r="M33" s="231">
        <v>166409.29999999999</v>
      </c>
      <c r="N33" s="231">
        <v>161681.20000000001</v>
      </c>
      <c r="O33" s="231">
        <v>165185.5</v>
      </c>
      <c r="P33" s="232">
        <f>AVERAGE(M33:O33)</f>
        <v>164425.33333333334</v>
      </c>
      <c r="Q33" s="231">
        <v>168131.3</v>
      </c>
      <c r="R33" s="231">
        <v>172589</v>
      </c>
      <c r="S33" s="231">
        <v>196355.4</v>
      </c>
      <c r="T33" s="232">
        <f>AVERAGE(Q33:S33)</f>
        <v>179025.23333333331</v>
      </c>
      <c r="U33" s="271">
        <f>+S33+R33+Q33+O33+N33+M33+K33+J33+I33+G33+F33+E33</f>
        <v>1997967.9999999998</v>
      </c>
      <c r="V33" s="279">
        <f>+U33/12</f>
        <v>166497.33333333331</v>
      </c>
      <c r="W33" s="233"/>
      <c r="X33" s="233"/>
    </row>
    <row r="34" spans="1:24" ht="30" customHeight="1" x14ac:dyDescent="0.25">
      <c r="A34" s="110"/>
      <c r="B34" s="11"/>
      <c r="C34" s="2"/>
      <c r="D34" s="100" t="s">
        <v>9</v>
      </c>
      <c r="E34" s="221">
        <f>E33/E8</f>
        <v>7021.5904761904758</v>
      </c>
      <c r="F34" s="222">
        <f>F33/F8</f>
        <v>7086.57</v>
      </c>
      <c r="G34" s="221">
        <f>G33/G8</f>
        <v>7341.8347826086965</v>
      </c>
      <c r="H34" s="223">
        <f>SUM(E33:G33)/SUM(E8:G8)</f>
        <v>7156.984375</v>
      </c>
      <c r="I34" s="222">
        <f>I33/I8</f>
        <v>9017.0476190476184</v>
      </c>
      <c r="J34" s="222">
        <f>J33/J8</f>
        <v>7898.0300000000007</v>
      </c>
      <c r="K34" s="222">
        <f>K33/K8</f>
        <v>7726.2238095238099</v>
      </c>
      <c r="L34" s="223">
        <f>SUM(I33:K33)/SUM(I8:K8)</f>
        <v>8218.8596774193538</v>
      </c>
      <c r="M34" s="222">
        <f>M33/M8</f>
        <v>7564.0590909090906</v>
      </c>
      <c r="N34" s="222">
        <f>N33/N8</f>
        <v>7349.1454545454553</v>
      </c>
      <c r="O34" s="222">
        <f>O33/O8</f>
        <v>7508.431818181818</v>
      </c>
      <c r="P34" s="223">
        <f>SUM(M33:O33)/SUM(M8:O8)</f>
        <v>7473.878787878788</v>
      </c>
      <c r="Q34" s="222">
        <f>Q33/Q8</f>
        <v>8006.25238095238</v>
      </c>
      <c r="R34" s="222">
        <f>R33/R8</f>
        <v>8629.4500000000007</v>
      </c>
      <c r="S34" s="222">
        <f>S33/S8</f>
        <v>8537.1913043478253</v>
      </c>
      <c r="T34" s="223">
        <f>SUM(Q33:S33)/SUM(Q8:S8)</f>
        <v>8391.8078124999993</v>
      </c>
      <c r="U34" s="273" t="s">
        <v>11</v>
      </c>
      <c r="V34" s="274">
        <f>U33/U8</f>
        <v>7804.5624999999991</v>
      </c>
      <c r="W34" s="233"/>
      <c r="X34" s="233"/>
    </row>
    <row r="35" spans="1:24" ht="30" customHeight="1" thickBot="1" x14ac:dyDescent="0.3">
      <c r="A35" s="111"/>
      <c r="B35" s="13"/>
      <c r="C35" s="14" t="s">
        <v>10</v>
      </c>
      <c r="D35" s="101"/>
      <c r="E35" s="227">
        <v>0.98499999999999999</v>
      </c>
      <c r="F35" s="228">
        <v>0.98599999999999999</v>
      </c>
      <c r="G35" s="227">
        <v>0.98799999999999999</v>
      </c>
      <c r="H35" s="229">
        <f>+H33/H16</f>
        <v>0.98642427526252241</v>
      </c>
      <c r="I35" s="228">
        <f>+I33/I16</f>
        <v>0.99171779108973845</v>
      </c>
      <c r="J35" s="228">
        <f>+J33/J16</f>
        <v>0.99207959719058392</v>
      </c>
      <c r="K35" s="228">
        <f>+K33/K16</f>
        <v>0.99222854487024648</v>
      </c>
      <c r="L35" s="229">
        <f>+L33/L16</f>
        <v>0.99199252612410849</v>
      </c>
      <c r="M35" s="228">
        <v>1</v>
      </c>
      <c r="N35" s="228">
        <v>1</v>
      </c>
      <c r="O35" s="228">
        <v>1</v>
      </c>
      <c r="P35" s="229">
        <f>AVERAGE(M35:O35)</f>
        <v>1</v>
      </c>
      <c r="Q35" s="228">
        <v>1</v>
      </c>
      <c r="R35" s="280">
        <v>1</v>
      </c>
      <c r="S35" s="280">
        <v>1</v>
      </c>
      <c r="T35" s="229">
        <f>AVERAGE(Q35:S35)</f>
        <v>1</v>
      </c>
      <c r="U35" s="276" t="s">
        <v>11</v>
      </c>
      <c r="V35" s="277">
        <f>+U33/U16</f>
        <v>0.99481314640239338</v>
      </c>
      <c r="W35" s="233"/>
      <c r="X35" s="233"/>
    </row>
    <row r="36" spans="1:24" ht="30" customHeight="1" thickTop="1" x14ac:dyDescent="0.25">
      <c r="A36" s="104" t="s">
        <v>39</v>
      </c>
      <c r="B36" s="113" t="s">
        <v>35</v>
      </c>
      <c r="C36" s="177" t="s">
        <v>18</v>
      </c>
      <c r="D36" s="97"/>
      <c r="E36" s="215">
        <v>1422</v>
      </c>
      <c r="F36" s="216">
        <v>1372</v>
      </c>
      <c r="G36" s="215">
        <v>1292</v>
      </c>
      <c r="H36" s="217">
        <f>AVERAGE(E36:G36)</f>
        <v>1362</v>
      </c>
      <c r="I36" s="216">
        <v>1094</v>
      </c>
      <c r="J36" s="216">
        <v>1084</v>
      </c>
      <c r="K36" s="216">
        <v>1076</v>
      </c>
      <c r="L36" s="217">
        <f>AVERAGE(I36:K36)</f>
        <v>1084.6666666666667</v>
      </c>
      <c r="M36" s="319" t="s">
        <v>11</v>
      </c>
      <c r="N36" s="319" t="s">
        <v>11</v>
      </c>
      <c r="O36" s="319" t="s">
        <v>11</v>
      </c>
      <c r="P36" s="320" t="s">
        <v>11</v>
      </c>
      <c r="Q36" s="319" t="s">
        <v>11</v>
      </c>
      <c r="R36" s="319" t="s">
        <v>11</v>
      </c>
      <c r="S36" s="319" t="s">
        <v>11</v>
      </c>
      <c r="T36" s="320" t="s">
        <v>11</v>
      </c>
      <c r="U36" s="269" t="s">
        <v>11</v>
      </c>
      <c r="V36" s="270">
        <f>AVERAGE(E36:G36,I36:K36,M36:O36,Q36:S36)</f>
        <v>1223.3333333333333</v>
      </c>
      <c r="W36" s="233"/>
      <c r="X36" s="233"/>
    </row>
    <row r="37" spans="1:24" ht="30" customHeight="1" x14ac:dyDescent="0.25">
      <c r="A37" s="105"/>
      <c r="B37" s="11"/>
      <c r="C37" s="119" t="s">
        <v>19</v>
      </c>
      <c r="D37" s="120" t="s">
        <v>16</v>
      </c>
      <c r="E37" s="218">
        <v>8154.5</v>
      </c>
      <c r="F37" s="219">
        <v>6637.8</v>
      </c>
      <c r="G37" s="218">
        <v>6989.4</v>
      </c>
      <c r="H37" s="220">
        <f>AVERAGE(E37:G37)</f>
        <v>7260.5666666666657</v>
      </c>
      <c r="I37" s="219">
        <v>4992.6000000000004</v>
      </c>
      <c r="J37" s="219">
        <v>4270.8999999999996</v>
      </c>
      <c r="K37" s="219">
        <v>4112.7</v>
      </c>
      <c r="L37" s="220">
        <f>AVERAGE(I37:K37)</f>
        <v>4458.7333333333336</v>
      </c>
      <c r="M37" s="321" t="s">
        <v>11</v>
      </c>
      <c r="N37" s="321" t="s">
        <v>11</v>
      </c>
      <c r="O37" s="321" t="s">
        <v>11</v>
      </c>
      <c r="P37" s="322" t="s">
        <v>11</v>
      </c>
      <c r="Q37" s="321" t="s">
        <v>11</v>
      </c>
      <c r="R37" s="321" t="s">
        <v>11</v>
      </c>
      <c r="S37" s="321" t="s">
        <v>11</v>
      </c>
      <c r="T37" s="322" t="s">
        <v>11</v>
      </c>
      <c r="U37" s="271">
        <f>K37+J37+I37+G37+F37+E37</f>
        <v>35157.899999999994</v>
      </c>
      <c r="V37" s="272">
        <f>+U37/12</f>
        <v>2929.8249999999994</v>
      </c>
      <c r="W37" s="233"/>
      <c r="X37" s="233"/>
    </row>
    <row r="38" spans="1:24" ht="30" customHeight="1" x14ac:dyDescent="0.25">
      <c r="A38" s="105"/>
      <c r="B38" s="11"/>
      <c r="C38" s="1" t="s">
        <v>20</v>
      </c>
      <c r="D38" s="100" t="s">
        <v>16</v>
      </c>
      <c r="E38" s="221">
        <f>E37/E24</f>
        <v>0.14879904237246383</v>
      </c>
      <c r="F38" s="222">
        <f>F37/F24</f>
        <v>0.12018185340558704</v>
      </c>
      <c r="G38" s="221">
        <f>G37/G24</f>
        <v>0.11076721199241202</v>
      </c>
      <c r="H38" s="223">
        <f>SUM(E37:G37)/SUM(E24:G24)</f>
        <v>0.12580884208872584</v>
      </c>
      <c r="I38" s="222">
        <f>I37/I24</f>
        <v>8.2810164920376128E-2</v>
      </c>
      <c r="J38" s="222">
        <f>J37/J24</f>
        <v>7.5782820620649394E-2</v>
      </c>
      <c r="K38" s="222">
        <f>K37/K24</f>
        <v>6.7491458335384641E-2</v>
      </c>
      <c r="L38" s="223">
        <f>SUM(I37:K37)/SUM(I24:K24)</f>
        <v>7.5323481811926121E-2</v>
      </c>
      <c r="M38" s="321" t="s">
        <v>11</v>
      </c>
      <c r="N38" s="321" t="s">
        <v>11</v>
      </c>
      <c r="O38" s="321" t="s">
        <v>11</v>
      </c>
      <c r="P38" s="322" t="s">
        <v>11</v>
      </c>
      <c r="Q38" s="321" t="s">
        <v>11</v>
      </c>
      <c r="R38" s="321" t="s">
        <v>11</v>
      </c>
      <c r="S38" s="321" t="s">
        <v>11</v>
      </c>
      <c r="T38" s="322" t="s">
        <v>11</v>
      </c>
      <c r="U38" s="273" t="s">
        <v>11</v>
      </c>
      <c r="V38" s="274">
        <f>U37/U24</f>
        <v>4.8389221221454878E-2</v>
      </c>
      <c r="W38" s="233"/>
      <c r="X38" s="233"/>
    </row>
    <row r="39" spans="1:24" ht="30" customHeight="1" x14ac:dyDescent="0.25">
      <c r="A39" s="105"/>
      <c r="B39" s="11"/>
      <c r="C39" s="1" t="s">
        <v>21</v>
      </c>
      <c r="D39" s="100"/>
      <c r="E39" s="224">
        <f>E37/E22</f>
        <v>0.14723300532635189</v>
      </c>
      <c r="F39" s="225">
        <f>F37/F22</f>
        <v>0.1189107461793532</v>
      </c>
      <c r="G39" s="224">
        <f>G37/G22</f>
        <v>0.10963334771185443</v>
      </c>
      <c r="H39" s="226">
        <f>+H37/H22</f>
        <v>0.12449588246859837</v>
      </c>
      <c r="I39" s="225">
        <v>8.2000000000000003E-2</v>
      </c>
      <c r="J39" s="225">
        <v>7.4999999999999997E-2</v>
      </c>
      <c r="K39" s="225">
        <v>6.7000000000000004E-2</v>
      </c>
      <c r="L39" s="226">
        <f>+L37/L30</f>
        <v>1.6640189218646417</v>
      </c>
      <c r="M39" s="321" t="s">
        <v>11</v>
      </c>
      <c r="N39" s="321" t="s">
        <v>11</v>
      </c>
      <c r="O39" s="321" t="s">
        <v>11</v>
      </c>
      <c r="P39" s="322" t="s">
        <v>11</v>
      </c>
      <c r="Q39" s="321" t="s">
        <v>11</v>
      </c>
      <c r="R39" s="321" t="s">
        <v>11</v>
      </c>
      <c r="S39" s="321" t="s">
        <v>11</v>
      </c>
      <c r="T39" s="322" t="s">
        <v>11</v>
      </c>
      <c r="U39" s="273" t="s">
        <v>11</v>
      </c>
      <c r="V39" s="275">
        <f>+V37/V16</f>
        <v>1.7505556205054687E-2</v>
      </c>
      <c r="W39" s="233"/>
      <c r="X39" s="233"/>
    </row>
    <row r="40" spans="1:24" ht="30" customHeight="1" x14ac:dyDescent="0.25">
      <c r="A40" s="105"/>
      <c r="B40" s="11"/>
      <c r="C40" s="12" t="s">
        <v>22</v>
      </c>
      <c r="D40" s="98" t="s">
        <v>23</v>
      </c>
      <c r="E40" s="209">
        <f>E41/E37</f>
        <v>0.27735606107057453</v>
      </c>
      <c r="F40" s="210">
        <f>F41/F37</f>
        <v>0.29332007592877157</v>
      </c>
      <c r="G40" s="209">
        <f>G41/G37</f>
        <v>0.29972529830886774</v>
      </c>
      <c r="H40" s="211">
        <f>AVERAGE(E40:G40)</f>
        <v>0.29013381176940461</v>
      </c>
      <c r="I40" s="210">
        <v>0.3</v>
      </c>
      <c r="J40" s="210">
        <v>0.3</v>
      </c>
      <c r="K40" s="210">
        <v>0.3</v>
      </c>
      <c r="L40" s="211">
        <f>SUM(I41:K41)/SUM(I37:K37)</f>
        <v>0.3075163349830296</v>
      </c>
      <c r="M40" s="321" t="s">
        <v>11</v>
      </c>
      <c r="N40" s="321" t="s">
        <v>11</v>
      </c>
      <c r="O40" s="321" t="s">
        <v>11</v>
      </c>
      <c r="P40" s="322" t="s">
        <v>11</v>
      </c>
      <c r="Q40" s="321" t="s">
        <v>11</v>
      </c>
      <c r="R40" s="321" t="s">
        <v>11</v>
      </c>
      <c r="S40" s="321" t="s">
        <v>11</v>
      </c>
      <c r="T40" s="322" t="s">
        <v>11</v>
      </c>
      <c r="U40" s="259" t="s">
        <v>11</v>
      </c>
      <c r="V40" s="260">
        <f>AVERAGE(E40:G40,I40:K40,M40:O40,Q40:S40)</f>
        <v>0.2950669058847023</v>
      </c>
      <c r="W40" s="233"/>
      <c r="X40" s="233"/>
    </row>
    <row r="41" spans="1:24" ht="30" customHeight="1" x14ac:dyDescent="0.25">
      <c r="A41" s="105"/>
      <c r="B41" s="11"/>
      <c r="C41" s="119" t="s">
        <v>8</v>
      </c>
      <c r="D41" s="120" t="s">
        <v>9</v>
      </c>
      <c r="E41" s="218">
        <v>2261.6999999999998</v>
      </c>
      <c r="F41" s="219">
        <v>1947</v>
      </c>
      <c r="G41" s="218">
        <v>2094.9</v>
      </c>
      <c r="H41" s="220">
        <f>AVERAGE(E41:G41)</f>
        <v>2101.2000000000003</v>
      </c>
      <c r="I41" s="219">
        <v>1581.4</v>
      </c>
      <c r="J41" s="219">
        <v>1261.2</v>
      </c>
      <c r="K41" s="219">
        <v>1270.8</v>
      </c>
      <c r="L41" s="220">
        <f>AVERAGE(I41:K41)</f>
        <v>1371.1333333333334</v>
      </c>
      <c r="M41" s="323" t="s">
        <v>11</v>
      </c>
      <c r="N41" s="323" t="s">
        <v>11</v>
      </c>
      <c r="O41" s="323" t="s">
        <v>11</v>
      </c>
      <c r="P41" s="324" t="s">
        <v>11</v>
      </c>
      <c r="Q41" s="323" t="s">
        <v>11</v>
      </c>
      <c r="R41" s="323" t="s">
        <v>11</v>
      </c>
      <c r="S41" s="323" t="s">
        <v>11</v>
      </c>
      <c r="T41" s="324" t="s">
        <v>11</v>
      </c>
      <c r="U41" s="271">
        <f>J41+I41+G41+F41+E41</f>
        <v>9146.2000000000007</v>
      </c>
      <c r="V41" s="272">
        <f>+U41/12</f>
        <v>762.18333333333339</v>
      </c>
      <c r="W41" s="233"/>
      <c r="X41" s="233"/>
    </row>
    <row r="42" spans="1:24" ht="30" customHeight="1" x14ac:dyDescent="0.25">
      <c r="A42" s="105"/>
      <c r="B42" s="11"/>
      <c r="C42" s="1" t="s">
        <v>20</v>
      </c>
      <c r="D42" s="100" t="s">
        <v>9</v>
      </c>
      <c r="E42" s="356">
        <f>E41/E24</f>
        <v>4.1270316283500086E-2</v>
      </c>
      <c r="F42" s="357">
        <f>F41/F24</f>
        <v>3.5251750366187287E-2</v>
      </c>
      <c r="G42" s="356">
        <f>G41/G24</f>
        <v>3.3199735657267283E-2</v>
      </c>
      <c r="H42" s="358">
        <f>SUM(E41:G41)/SUM(E24:G24)</f>
        <v>3.6408940394482177E-2</v>
      </c>
      <c r="I42" s="357">
        <f>I41/I24</f>
        <v>2.6230019389713338E-2</v>
      </c>
      <c r="J42" s="357">
        <f>J41/J24</f>
        <v>2.2378724242375851E-2</v>
      </c>
      <c r="K42" s="357">
        <f>K41/K24</f>
        <v>2.0854461850513484E-2</v>
      </c>
      <c r="L42" s="358">
        <f>SUM(I41:K41)/SUM(I24:K24)</f>
        <v>2.316320106496441E-2</v>
      </c>
      <c r="M42" s="321" t="s">
        <v>11</v>
      </c>
      <c r="N42" s="321" t="s">
        <v>11</v>
      </c>
      <c r="O42" s="321" t="s">
        <v>11</v>
      </c>
      <c r="P42" s="322" t="s">
        <v>11</v>
      </c>
      <c r="Q42" s="321" t="s">
        <v>11</v>
      </c>
      <c r="R42" s="321" t="s">
        <v>11</v>
      </c>
      <c r="S42" s="321" t="s">
        <v>11</v>
      </c>
      <c r="T42" s="322" t="s">
        <v>11</v>
      </c>
      <c r="U42" s="273" t="s">
        <v>11</v>
      </c>
      <c r="V42" s="274">
        <f>U41/U24</f>
        <v>1.2588280162798993E-2</v>
      </c>
      <c r="W42" s="233"/>
      <c r="X42" s="233"/>
    </row>
    <row r="43" spans="1:24" ht="30" customHeight="1" thickBot="1" x14ac:dyDescent="0.3">
      <c r="A43" s="106"/>
      <c r="B43" s="13"/>
      <c r="C43" s="14" t="s">
        <v>10</v>
      </c>
      <c r="D43" s="101"/>
      <c r="E43" s="227">
        <v>1.4999999999999999E-2</v>
      </c>
      <c r="F43" s="228">
        <v>1.4E-2</v>
      </c>
      <c r="G43" s="227">
        <v>1.2E-2</v>
      </c>
      <c r="H43" s="229">
        <f>+H41/H16</f>
        <v>1.357507867433874E-2</v>
      </c>
      <c r="I43" s="228">
        <f>+I41/I16</f>
        <v>8.2822089102615806E-3</v>
      </c>
      <c r="J43" s="228">
        <f>+J41/J16</f>
        <v>7.9210308645115586E-3</v>
      </c>
      <c r="K43" s="228">
        <f>+K41/K16</f>
        <v>7.7714551297535794E-3</v>
      </c>
      <c r="L43" s="229">
        <f>+L41/L16</f>
        <v>8.0076685486329506E-3</v>
      </c>
      <c r="M43" s="394" t="s">
        <v>11</v>
      </c>
      <c r="N43" s="394" t="s">
        <v>11</v>
      </c>
      <c r="O43" s="394" t="s">
        <v>11</v>
      </c>
      <c r="P43" s="395" t="s">
        <v>11</v>
      </c>
      <c r="Q43" s="394" t="s">
        <v>11</v>
      </c>
      <c r="R43" s="394" t="s">
        <v>11</v>
      </c>
      <c r="S43" s="394" t="s">
        <v>11</v>
      </c>
      <c r="T43" s="395" t="s">
        <v>11</v>
      </c>
      <c r="U43" s="276" t="s">
        <v>11</v>
      </c>
      <c r="V43" s="277">
        <f>+V41/V16</f>
        <v>4.5540068707935122E-3</v>
      </c>
      <c r="W43" s="233"/>
      <c r="X43" s="233"/>
    </row>
    <row r="44" spans="1:24" ht="12" thickTop="1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239"/>
      <c r="J364" s="239"/>
      <c r="K364" s="239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239"/>
      <c r="J365" s="239"/>
      <c r="K365" s="239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239"/>
      <c r="J366" s="239"/>
      <c r="K366" s="239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  <row r="2058" spans="5:22" x14ac:dyDescent="0.25">
      <c r="E2058" s="183"/>
      <c r="F2058" s="183"/>
      <c r="G2058" s="183"/>
      <c r="H2058" s="183"/>
      <c r="I2058" s="183"/>
      <c r="J2058" s="183"/>
      <c r="K2058" s="183"/>
      <c r="L2058" s="183"/>
      <c r="M2058" s="183"/>
      <c r="N2058" s="183"/>
      <c r="O2058" s="183"/>
      <c r="P2058" s="183"/>
      <c r="Q2058" s="183"/>
      <c r="R2058" s="183"/>
      <c r="S2058" s="183"/>
      <c r="T2058" s="183"/>
      <c r="U2058" s="183"/>
      <c r="V2058" s="183"/>
    </row>
    <row r="2059" spans="5:22" x14ac:dyDescent="0.25">
      <c r="E2059" s="183"/>
      <c r="F2059" s="183"/>
      <c r="G2059" s="183"/>
      <c r="H2059" s="183"/>
      <c r="I2059" s="183"/>
      <c r="J2059" s="183"/>
      <c r="K2059" s="183"/>
      <c r="L2059" s="183"/>
      <c r="M2059" s="183"/>
      <c r="N2059" s="183"/>
      <c r="O2059" s="183"/>
      <c r="P2059" s="183"/>
      <c r="Q2059" s="183"/>
      <c r="R2059" s="183"/>
      <c r="S2059" s="183"/>
      <c r="T2059" s="183"/>
      <c r="U2059" s="183"/>
      <c r="V2059" s="183"/>
    </row>
    <row r="2060" spans="5:22" x14ac:dyDescent="0.25">
      <c r="E2060" s="183"/>
      <c r="F2060" s="183"/>
      <c r="G2060" s="183"/>
      <c r="H2060" s="183"/>
      <c r="I2060" s="183"/>
      <c r="J2060" s="183"/>
      <c r="K2060" s="183"/>
      <c r="L2060" s="183"/>
      <c r="M2060" s="183"/>
      <c r="N2060" s="183"/>
      <c r="O2060" s="183"/>
      <c r="P2060" s="183"/>
      <c r="Q2060" s="183"/>
      <c r="R2060" s="183"/>
      <c r="S2060" s="183"/>
      <c r="T2060" s="183"/>
      <c r="U2060" s="183"/>
      <c r="V2060" s="183"/>
    </row>
  </sheetData>
  <mergeCells count="10">
    <mergeCell ref="A1:C1"/>
    <mergeCell ref="A2:C2"/>
    <mergeCell ref="B14:B15"/>
    <mergeCell ref="B6:C7"/>
    <mergeCell ref="B8:C8"/>
    <mergeCell ref="B9:C9"/>
    <mergeCell ref="B12:B13"/>
    <mergeCell ref="A3:V3"/>
    <mergeCell ref="A4:V4"/>
    <mergeCell ref="A5:V5"/>
  </mergeCells>
  <phoneticPr fontId="16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42" orientation="landscape" horizontalDpi="4294967293" r:id="rId1"/>
  <headerFooter alignWithMargins="0"/>
  <rowBreaks count="1" manualBreakCount="1">
    <brk id="3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X2060"/>
  <sheetViews>
    <sheetView topLeftCell="A29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2.69921875" style="3" customWidth="1"/>
    <col min="4" max="4" width="8.69921875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5.89843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5.39843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2" ht="17.5" x14ac:dyDescent="0.35">
      <c r="A1" s="18" t="s">
        <v>41</v>
      </c>
      <c r="B1" s="18"/>
      <c r="C1" s="18"/>
      <c r="V1" s="38"/>
    </row>
    <row r="2" spans="1:22" ht="17.5" x14ac:dyDescent="0.35">
      <c r="A2" s="18" t="s">
        <v>0</v>
      </c>
      <c r="B2" s="18"/>
      <c r="C2" s="18"/>
    </row>
    <row r="3" spans="1:22" ht="39" customHeight="1" x14ac:dyDescent="0.4">
      <c r="A3" s="4" t="s">
        <v>42</v>
      </c>
      <c r="B3" s="4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134" customFormat="1" ht="18.75" customHeight="1" x14ac:dyDescent="0.25">
      <c r="A4" s="131" t="s">
        <v>44</v>
      </c>
      <c r="B4" s="1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2" ht="30.75" customHeight="1" thickBot="1" x14ac:dyDescent="0.45">
      <c r="A5" s="7" t="s">
        <v>120</v>
      </c>
      <c r="B5" s="4"/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42" customHeight="1" thickTop="1" thickBot="1" x14ac:dyDescent="0.45">
      <c r="A6" s="112" t="s">
        <v>1</v>
      </c>
      <c r="B6" s="993" t="s">
        <v>2</v>
      </c>
      <c r="C6" s="993"/>
      <c r="D6" s="88" t="s">
        <v>3</v>
      </c>
      <c r="E6" s="142" t="s">
        <v>121</v>
      </c>
      <c r="F6" s="143" t="s">
        <v>122</v>
      </c>
      <c r="G6" s="142" t="s">
        <v>123</v>
      </c>
      <c r="H6" s="144" t="s">
        <v>54</v>
      </c>
      <c r="I6" s="143" t="s">
        <v>124</v>
      </c>
      <c r="J6" s="143" t="s">
        <v>125</v>
      </c>
      <c r="K6" s="143" t="s">
        <v>126</v>
      </c>
      <c r="L6" s="144" t="s">
        <v>55</v>
      </c>
      <c r="M6" s="143" t="s">
        <v>127</v>
      </c>
      <c r="N6" s="143" t="s">
        <v>128</v>
      </c>
      <c r="O6" s="143" t="s">
        <v>129</v>
      </c>
      <c r="P6" s="144" t="s">
        <v>56</v>
      </c>
      <c r="Q6" s="143" t="s">
        <v>130</v>
      </c>
      <c r="R6" s="143" t="s">
        <v>131</v>
      </c>
      <c r="S6" s="143" t="s">
        <v>132</v>
      </c>
      <c r="T6" s="144" t="s">
        <v>57</v>
      </c>
      <c r="U6" s="138" t="s">
        <v>46</v>
      </c>
      <c r="V6" s="139" t="s">
        <v>58</v>
      </c>
    </row>
    <row r="7" spans="1:22" ht="44.25" customHeight="1" thickTop="1" thickBot="1" x14ac:dyDescent="0.4">
      <c r="A7" s="102"/>
      <c r="B7" s="993"/>
      <c r="C7" s="993"/>
      <c r="D7" s="89" t="s">
        <v>4</v>
      </c>
      <c r="E7" s="16"/>
      <c r="F7" s="54"/>
      <c r="G7" s="16"/>
      <c r="H7" s="136" t="s">
        <v>45</v>
      </c>
      <c r="I7" s="137"/>
      <c r="J7" s="137"/>
      <c r="K7" s="137"/>
      <c r="L7" s="136" t="s">
        <v>45</v>
      </c>
      <c r="M7" s="137"/>
      <c r="N7" s="137"/>
      <c r="O7" s="137"/>
      <c r="P7" s="136" t="s">
        <v>45</v>
      </c>
      <c r="Q7" s="137"/>
      <c r="R7" s="137"/>
      <c r="S7" s="137"/>
      <c r="T7" s="136" t="s">
        <v>45</v>
      </c>
      <c r="U7" s="140" t="s">
        <v>53</v>
      </c>
      <c r="V7" s="141" t="s">
        <v>53</v>
      </c>
    </row>
    <row r="8" spans="1:22" ht="30" customHeight="1" thickTop="1" thickBot="1" x14ac:dyDescent="0.3">
      <c r="A8" s="103" t="s">
        <v>5</v>
      </c>
      <c r="B8" s="994" t="s">
        <v>6</v>
      </c>
      <c r="C8" s="994"/>
      <c r="D8" s="90"/>
      <c r="E8" s="184">
        <v>22</v>
      </c>
      <c r="F8" s="185">
        <v>20</v>
      </c>
      <c r="G8" s="184">
        <v>21</v>
      </c>
      <c r="H8" s="186">
        <f t="shared" ref="H8:H14" si="0">AVERAGE(E8:G8)</f>
        <v>21</v>
      </c>
      <c r="I8" s="281">
        <v>21</v>
      </c>
      <c r="J8" s="281">
        <v>21</v>
      </c>
      <c r="K8" s="281">
        <v>20</v>
      </c>
      <c r="L8" s="282">
        <f t="shared" ref="L8:L16" si="1">AVERAGE(I8:K8)</f>
        <v>20.666666666666668</v>
      </c>
      <c r="M8" s="185">
        <v>23</v>
      </c>
      <c r="N8" s="185">
        <v>20</v>
      </c>
      <c r="O8" s="185">
        <v>22</v>
      </c>
      <c r="P8" s="186">
        <f t="shared" ref="P8:P16" si="2">AVERAGE(M8:O8)</f>
        <v>21.666666666666668</v>
      </c>
      <c r="Q8" s="185">
        <v>23</v>
      </c>
      <c r="R8" s="185">
        <v>19</v>
      </c>
      <c r="S8" s="283">
        <v>20.988</v>
      </c>
      <c r="T8" s="186">
        <f t="shared" ref="T8:T16" si="3">AVERAGE(Q8:S8)</f>
        <v>20.995999999999999</v>
      </c>
      <c r="U8" s="284">
        <f>SUM(E8:G8,I8:K8,M8:O8,Q8:S8)</f>
        <v>252.988</v>
      </c>
      <c r="V8" s="241">
        <f>AVERAGE(E8:G8,I8:K8,M8:O8,Q8:S8)</f>
        <v>21.082333333333334</v>
      </c>
    </row>
    <row r="9" spans="1:22" ht="30" customHeight="1" thickTop="1" thickBot="1" x14ac:dyDescent="0.3">
      <c r="A9" s="103" t="s">
        <v>7</v>
      </c>
      <c r="B9" s="994" t="s">
        <v>40</v>
      </c>
      <c r="C9" s="994"/>
      <c r="D9" s="90"/>
      <c r="E9" s="184">
        <v>56</v>
      </c>
      <c r="F9" s="185">
        <v>57</v>
      </c>
      <c r="G9" s="184">
        <v>56</v>
      </c>
      <c r="H9" s="186">
        <f t="shared" si="0"/>
        <v>56.333333333333336</v>
      </c>
      <c r="I9" s="281">
        <v>57</v>
      </c>
      <c r="J9" s="281">
        <v>57</v>
      </c>
      <c r="K9" s="281">
        <v>57</v>
      </c>
      <c r="L9" s="282">
        <f t="shared" si="1"/>
        <v>57</v>
      </c>
      <c r="M9" s="185">
        <v>57</v>
      </c>
      <c r="N9" s="185">
        <v>56</v>
      </c>
      <c r="O9" s="185">
        <v>56</v>
      </c>
      <c r="P9" s="186">
        <f t="shared" si="2"/>
        <v>56.333333333333336</v>
      </c>
      <c r="Q9" s="185">
        <v>56</v>
      </c>
      <c r="R9" s="185">
        <v>56</v>
      </c>
      <c r="S9" s="185">
        <v>56</v>
      </c>
      <c r="T9" s="186">
        <f t="shared" si="3"/>
        <v>56</v>
      </c>
      <c r="U9" s="242" t="s">
        <v>11</v>
      </c>
      <c r="V9" s="241">
        <f>AVERAGE(E9:G9,I9:K9,M9:O9,Q9:S9)</f>
        <v>56.416666666666664</v>
      </c>
    </row>
    <row r="10" spans="1:22" ht="48" customHeight="1" thickTop="1" x14ac:dyDescent="0.35">
      <c r="A10" s="104" t="s">
        <v>12</v>
      </c>
      <c r="B10" s="129" t="s">
        <v>27</v>
      </c>
      <c r="C10" s="30" t="s">
        <v>8</v>
      </c>
      <c r="D10" s="91" t="s">
        <v>9</v>
      </c>
      <c r="E10" s="187">
        <v>59131</v>
      </c>
      <c r="F10" s="188">
        <v>56061.9</v>
      </c>
      <c r="G10" s="187">
        <v>60066.2</v>
      </c>
      <c r="H10" s="189">
        <f>AVERAGE(E10:G10)</f>
        <v>58419.69999999999</v>
      </c>
      <c r="I10" s="285">
        <v>63235.5</v>
      </c>
      <c r="J10" s="285">
        <v>61599.8</v>
      </c>
      <c r="K10" s="285">
        <v>61588.9</v>
      </c>
      <c r="L10" s="286">
        <f t="shared" si="1"/>
        <v>62141.4</v>
      </c>
      <c r="M10" s="188">
        <v>67624.3</v>
      </c>
      <c r="N10" s="188">
        <v>61756</v>
      </c>
      <c r="O10" s="188">
        <v>65442</v>
      </c>
      <c r="P10" s="189">
        <f t="shared" si="2"/>
        <v>64940.766666666663</v>
      </c>
      <c r="Q10" s="188">
        <v>69000.399999999994</v>
      </c>
      <c r="R10" s="188">
        <v>62786.1</v>
      </c>
      <c r="S10" s="188">
        <v>77701</v>
      </c>
      <c r="T10" s="189">
        <f t="shared" si="3"/>
        <v>69829.166666666672</v>
      </c>
      <c r="U10" s="243">
        <f>+S10+R10+Q10+O10+N10+M10+K10+J10+I10+G10+F10+E10</f>
        <v>765993.1</v>
      </c>
      <c r="V10" s="244">
        <f>+U10/12</f>
        <v>63832.758333333331</v>
      </c>
    </row>
    <row r="11" spans="1:22" ht="30" customHeight="1" x14ac:dyDescent="0.25">
      <c r="A11" s="105"/>
      <c r="B11" s="130" t="s">
        <v>28</v>
      </c>
      <c r="C11" s="21" t="s">
        <v>10</v>
      </c>
      <c r="D11" s="92"/>
      <c r="E11" s="190">
        <v>0.41</v>
      </c>
      <c r="F11" s="191">
        <v>0.39400000000000002</v>
      </c>
      <c r="G11" s="192">
        <v>0.39700000000000002</v>
      </c>
      <c r="H11" s="193">
        <f>+H10/H16</f>
        <v>0.40039180387417489</v>
      </c>
      <c r="I11" s="287">
        <v>0.41799999999999998</v>
      </c>
      <c r="J11" s="287">
        <v>0.41899999999999998</v>
      </c>
      <c r="K11" s="287">
        <v>0.42</v>
      </c>
      <c r="L11" s="288">
        <f t="shared" si="1"/>
        <v>0.41899999999999998</v>
      </c>
      <c r="M11" s="191">
        <v>0.41899999999999998</v>
      </c>
      <c r="N11" s="191">
        <v>0.42799999999999999</v>
      </c>
      <c r="O11" s="191">
        <v>0.41899999999999998</v>
      </c>
      <c r="P11" s="193">
        <f>+P10/P16</f>
        <v>0.42186431858630136</v>
      </c>
      <c r="Q11" s="191">
        <v>0.40899999999999997</v>
      </c>
      <c r="R11" s="245">
        <v>0.41</v>
      </c>
      <c r="S11" s="245">
        <v>0.42199999999999999</v>
      </c>
      <c r="T11" s="193">
        <f>+T10/T16</f>
        <v>0.41403056419625545</v>
      </c>
      <c r="U11" s="246" t="s">
        <v>11</v>
      </c>
      <c r="V11" s="247">
        <f>U10/U16</f>
        <v>0.41390583762705974</v>
      </c>
    </row>
    <row r="12" spans="1:22" ht="40.5" customHeight="1" x14ac:dyDescent="0.35">
      <c r="A12" s="105"/>
      <c r="B12" s="991" t="s">
        <v>29</v>
      </c>
      <c r="C12" s="24" t="s">
        <v>8</v>
      </c>
      <c r="D12" s="93" t="s">
        <v>9</v>
      </c>
      <c r="E12" s="194">
        <v>56478.400000000001</v>
      </c>
      <c r="F12" s="195">
        <v>60903.5</v>
      </c>
      <c r="G12" s="194">
        <v>63687.6</v>
      </c>
      <c r="H12" s="196">
        <f t="shared" si="0"/>
        <v>60356.5</v>
      </c>
      <c r="I12" s="289">
        <v>57493.9</v>
      </c>
      <c r="J12" s="289">
        <v>55998.9</v>
      </c>
      <c r="K12" s="289">
        <v>54782.7</v>
      </c>
      <c r="L12" s="290">
        <f t="shared" si="1"/>
        <v>56091.833333333336</v>
      </c>
      <c r="M12" s="195">
        <v>62034.9</v>
      </c>
      <c r="N12" s="195">
        <v>54753.8</v>
      </c>
      <c r="O12" s="195">
        <v>61076.6</v>
      </c>
      <c r="P12" s="196">
        <f t="shared" si="2"/>
        <v>59288.433333333342</v>
      </c>
      <c r="Q12" s="195">
        <v>67237.5</v>
      </c>
      <c r="R12" s="195">
        <v>61883.199999999997</v>
      </c>
      <c r="S12" s="195">
        <v>71354.7</v>
      </c>
      <c r="T12" s="196">
        <f t="shared" si="3"/>
        <v>66825.133333333331</v>
      </c>
      <c r="U12" s="248">
        <f>+S12+R12+Q12+O12+N12+M12+K12+J12+I12+G12+F12+E12</f>
        <v>727685.70000000007</v>
      </c>
      <c r="V12" s="249">
        <f>+U12/12</f>
        <v>60640.475000000006</v>
      </c>
    </row>
    <row r="13" spans="1:22" ht="30" customHeight="1" x14ac:dyDescent="0.25">
      <c r="A13" s="105"/>
      <c r="B13" s="991"/>
      <c r="C13" s="22" t="s">
        <v>10</v>
      </c>
      <c r="D13" s="94"/>
      <c r="E13" s="197">
        <v>0.39200000000000002</v>
      </c>
      <c r="F13" s="198">
        <v>0.42799999999999999</v>
      </c>
      <c r="G13" s="197">
        <v>0.42099999999999999</v>
      </c>
      <c r="H13" s="199">
        <f>+H12/H16</f>
        <v>0.41366607343980955</v>
      </c>
      <c r="I13" s="291">
        <v>0.38</v>
      </c>
      <c r="J13" s="291">
        <v>0.38</v>
      </c>
      <c r="K13" s="291">
        <v>0.373</v>
      </c>
      <c r="L13" s="292">
        <f t="shared" si="1"/>
        <v>0.37766666666666665</v>
      </c>
      <c r="M13" s="198">
        <v>0.38400000000000001</v>
      </c>
      <c r="N13" s="198">
        <v>0.38</v>
      </c>
      <c r="O13" s="198">
        <v>0.39100000000000001</v>
      </c>
      <c r="P13" s="199">
        <f>+P12/P16</f>
        <v>0.38514596935077799</v>
      </c>
      <c r="Q13" s="198">
        <v>0.39900000000000002</v>
      </c>
      <c r="R13" s="250">
        <v>0.40400000000000003</v>
      </c>
      <c r="S13" s="250">
        <v>0.38800000000000001</v>
      </c>
      <c r="T13" s="199">
        <f>+T12/T16</f>
        <v>0.39621907259130013</v>
      </c>
      <c r="U13" s="251" t="s">
        <v>11</v>
      </c>
      <c r="V13" s="252">
        <f>U12/U16</f>
        <v>0.39320636072013354</v>
      </c>
    </row>
    <row r="14" spans="1:22" ht="46.5" customHeight="1" x14ac:dyDescent="0.35">
      <c r="A14" s="105"/>
      <c r="B14" s="991" t="s">
        <v>30</v>
      </c>
      <c r="C14" s="23" t="s">
        <v>8</v>
      </c>
      <c r="D14" s="95" t="s">
        <v>9</v>
      </c>
      <c r="E14" s="200">
        <v>28544.2</v>
      </c>
      <c r="F14" s="201">
        <v>25402.400000000001</v>
      </c>
      <c r="G14" s="200">
        <v>27443.599999999999</v>
      </c>
      <c r="H14" s="202">
        <f t="shared" si="0"/>
        <v>27130.066666666669</v>
      </c>
      <c r="I14" s="293">
        <v>30494.1</v>
      </c>
      <c r="J14" s="293">
        <v>29575.200000000001</v>
      </c>
      <c r="K14" s="293">
        <v>30374.1</v>
      </c>
      <c r="L14" s="294">
        <f t="shared" si="1"/>
        <v>30147.8</v>
      </c>
      <c r="M14" s="201">
        <v>31801.3</v>
      </c>
      <c r="N14" s="201">
        <v>27701.3</v>
      </c>
      <c r="O14" s="201">
        <v>29622.5</v>
      </c>
      <c r="P14" s="202">
        <f t="shared" si="2"/>
        <v>29708.366666666669</v>
      </c>
      <c r="Q14" s="201">
        <v>32436.9</v>
      </c>
      <c r="R14" s="201">
        <v>28554.799999999999</v>
      </c>
      <c r="S14" s="201">
        <v>35016.5</v>
      </c>
      <c r="T14" s="202">
        <f t="shared" si="3"/>
        <v>32002.733333333334</v>
      </c>
      <c r="U14" s="248">
        <f>+S14+R14+Q14+O14+N14+M14+K14+J14+I14+G14+F14+E14</f>
        <v>356966.9</v>
      </c>
      <c r="V14" s="253">
        <f>+U14/12</f>
        <v>29747.241666666669</v>
      </c>
    </row>
    <row r="15" spans="1:22" ht="30" customHeight="1" thickBot="1" x14ac:dyDescent="0.3">
      <c r="A15" s="106"/>
      <c r="B15" s="992"/>
      <c r="C15" s="31" t="s">
        <v>10</v>
      </c>
      <c r="D15" s="96"/>
      <c r="E15" s="203">
        <v>0.19800000000000001</v>
      </c>
      <c r="F15" s="204">
        <v>0.17799999999999999</v>
      </c>
      <c r="G15" s="203">
        <v>0.182</v>
      </c>
      <c r="H15" s="205">
        <f>+H14/H16</f>
        <v>0.18594166577187649</v>
      </c>
      <c r="I15" s="295">
        <v>0.20200000000000001</v>
      </c>
      <c r="J15" s="295">
        <v>0.20100000000000001</v>
      </c>
      <c r="K15" s="295">
        <v>0.20699999999999999</v>
      </c>
      <c r="L15" s="296">
        <f t="shared" si="1"/>
        <v>0.20333333333333334</v>
      </c>
      <c r="M15" s="204">
        <v>0.19700000000000001</v>
      </c>
      <c r="N15" s="204">
        <v>0.192</v>
      </c>
      <c r="O15" s="204">
        <v>0.19</v>
      </c>
      <c r="P15" s="205">
        <f>+P14/P16</f>
        <v>0.19298971206292079</v>
      </c>
      <c r="Q15" s="204">
        <v>0.192</v>
      </c>
      <c r="R15" s="254">
        <v>0.186</v>
      </c>
      <c r="S15" s="254">
        <v>0.19</v>
      </c>
      <c r="T15" s="205">
        <f>+T14/T16</f>
        <v>0.18975036321244432</v>
      </c>
      <c r="U15" s="255" t="s">
        <v>11</v>
      </c>
      <c r="V15" s="256">
        <f>U14/U16</f>
        <v>0.19288774761761546</v>
      </c>
    </row>
    <row r="16" spans="1:22" ht="30" customHeight="1" thickTop="1" x14ac:dyDescent="0.25">
      <c r="A16" s="104" t="s">
        <v>17</v>
      </c>
      <c r="B16" s="113" t="s">
        <v>13</v>
      </c>
      <c r="C16" s="114" t="s">
        <v>8</v>
      </c>
      <c r="D16" s="115" t="s">
        <v>9</v>
      </c>
      <c r="E16" s="206">
        <v>144153.60000000001</v>
      </c>
      <c r="F16" s="207">
        <v>142367.9</v>
      </c>
      <c r="G16" s="206">
        <v>151197.5</v>
      </c>
      <c r="H16" s="208">
        <f>AVERAGE(E16:G16)</f>
        <v>145906.33333333334</v>
      </c>
      <c r="I16" s="297">
        <v>151223.5</v>
      </c>
      <c r="J16" s="297">
        <v>147173.9</v>
      </c>
      <c r="K16" s="297">
        <v>146745.70000000001</v>
      </c>
      <c r="L16" s="298">
        <f t="shared" si="1"/>
        <v>148381.03333333335</v>
      </c>
      <c r="M16" s="207">
        <v>161460.5</v>
      </c>
      <c r="N16" s="207">
        <v>144211.1</v>
      </c>
      <c r="O16" s="207">
        <v>156141.1</v>
      </c>
      <c r="P16" s="208">
        <f t="shared" si="2"/>
        <v>153937.56666666665</v>
      </c>
      <c r="Q16" s="207">
        <v>168674.8</v>
      </c>
      <c r="R16" s="207">
        <v>153224.1</v>
      </c>
      <c r="S16" s="207">
        <v>184072.2</v>
      </c>
      <c r="T16" s="208">
        <f t="shared" si="3"/>
        <v>168657.03333333335</v>
      </c>
      <c r="U16" s="257">
        <f>+S16+R16+Q16+O16+N16+M16+K16+J16+I16+G16+F16+E16-0.1</f>
        <v>1850645.7999999998</v>
      </c>
      <c r="V16" s="258">
        <f>+U16/12</f>
        <v>154220.48333333331</v>
      </c>
    </row>
    <row r="17" spans="1:24" ht="30" customHeight="1" x14ac:dyDescent="0.25">
      <c r="A17" s="105"/>
      <c r="B17" s="10" t="s">
        <v>14</v>
      </c>
      <c r="C17" s="12" t="s">
        <v>15</v>
      </c>
      <c r="D17" s="98" t="s">
        <v>9</v>
      </c>
      <c r="E17" s="209">
        <f>E16/E8</f>
        <v>6552.4363636363641</v>
      </c>
      <c r="F17" s="210">
        <f>F16/F8</f>
        <v>7118.3949999999995</v>
      </c>
      <c r="G17" s="209">
        <f>G16/G8</f>
        <v>7199.8809523809523</v>
      </c>
      <c r="H17" s="211">
        <f>SUM(E16:G16)/SUM(E8:G8)</f>
        <v>6947.9206349206352</v>
      </c>
      <c r="I17" s="299">
        <f>I16/I8</f>
        <v>7201.1190476190477</v>
      </c>
      <c r="J17" s="299">
        <f>J16/J8</f>
        <v>7008.2809523809519</v>
      </c>
      <c r="K17" s="299">
        <f>K16/K8</f>
        <v>7337.2850000000008</v>
      </c>
      <c r="L17" s="300">
        <f>SUM(I16:K16)/SUM(I8:K8)</f>
        <v>7179.7274193548392</v>
      </c>
      <c r="M17" s="210">
        <f>M16/M8</f>
        <v>7020.021739130435</v>
      </c>
      <c r="N17" s="210">
        <f>N16/N8</f>
        <v>7210.5550000000003</v>
      </c>
      <c r="O17" s="210">
        <f>O16/O8</f>
        <v>7097.3227272727272</v>
      </c>
      <c r="P17" s="211">
        <f>SUM(M16:O16)/SUM(M8:O8)</f>
        <v>7104.8107692307685</v>
      </c>
      <c r="Q17" s="210">
        <f>Q16/Q8</f>
        <v>7333.6869565217385</v>
      </c>
      <c r="R17" s="210">
        <f>R16/R8</f>
        <v>8064.4263157894738</v>
      </c>
      <c r="S17" s="210">
        <f>S16/S8</f>
        <v>8770.3544882790175</v>
      </c>
      <c r="T17" s="211">
        <f>SUM(Q16:S16)/SUM(Q8:S8)</f>
        <v>8032.8173620372145</v>
      </c>
      <c r="U17" s="259" t="s">
        <v>11</v>
      </c>
      <c r="V17" s="260">
        <f>U16/253</f>
        <v>7314.8055335968374</v>
      </c>
    </row>
    <row r="18" spans="1:24" s="27" customFormat="1" ht="40.5" customHeight="1" x14ac:dyDescent="0.35">
      <c r="A18" s="107"/>
      <c r="B18" s="15" t="s">
        <v>36</v>
      </c>
      <c r="C18" s="23" t="s">
        <v>8</v>
      </c>
      <c r="D18" s="95" t="s">
        <v>9</v>
      </c>
      <c r="E18" s="200">
        <v>142077.79999999999</v>
      </c>
      <c r="F18" s="201">
        <v>140399.5</v>
      </c>
      <c r="G18" s="200">
        <v>149205.70000000001</v>
      </c>
      <c r="H18" s="202">
        <f>AVERAGE(E18:G18)</f>
        <v>143894.33333333334</v>
      </c>
      <c r="I18" s="293">
        <v>148753.5</v>
      </c>
      <c r="J18" s="293">
        <v>144820.20000000001</v>
      </c>
      <c r="K18" s="293">
        <v>144616.4</v>
      </c>
      <c r="L18" s="294">
        <f>AVERAGE(I18:K18)</f>
        <v>146063.36666666667</v>
      </c>
      <c r="M18" s="201">
        <v>160686.70000000001</v>
      </c>
      <c r="N18" s="201">
        <v>143630.70000000001</v>
      </c>
      <c r="O18" s="201">
        <v>155450.5</v>
      </c>
      <c r="P18" s="202">
        <f>AVERAGE(M18:O18)</f>
        <v>153255.96666666667</v>
      </c>
      <c r="Q18" s="201">
        <v>168017.8</v>
      </c>
      <c r="R18" s="201">
        <v>152735.70000000001</v>
      </c>
      <c r="S18" s="201">
        <v>183449.8</v>
      </c>
      <c r="T18" s="202">
        <f>AVERAGE(Q18:S18)</f>
        <v>168067.76666666666</v>
      </c>
      <c r="U18" s="248">
        <f>+S18+R18+Q18+O18+N18+M18+K18+J18+I18+G18+F18+E18</f>
        <v>1833844.2999999998</v>
      </c>
      <c r="V18" s="253">
        <f>+U18/12</f>
        <v>152820.35833333331</v>
      </c>
    </row>
    <row r="19" spans="1:24" s="25" customFormat="1" ht="30" customHeight="1" x14ac:dyDescent="0.25">
      <c r="A19" s="108"/>
      <c r="B19" s="9" t="s">
        <v>32</v>
      </c>
      <c r="C19" s="26" t="s">
        <v>10</v>
      </c>
      <c r="D19" s="94"/>
      <c r="E19" s="197">
        <v>0.98599999999999999</v>
      </c>
      <c r="F19" s="198">
        <v>0.98599999999999999</v>
      </c>
      <c r="G19" s="197">
        <v>0.98699999999999999</v>
      </c>
      <c r="H19" s="199">
        <f>+H18/H16</f>
        <v>0.98621033128559643</v>
      </c>
      <c r="I19" s="291">
        <v>0.98399999999999999</v>
      </c>
      <c r="J19" s="291">
        <v>0.98399999999999999</v>
      </c>
      <c r="K19" s="291">
        <v>0.98499999999999999</v>
      </c>
      <c r="L19" s="292">
        <f>AVERAGE(I19:K19)</f>
        <v>0.98433333333333328</v>
      </c>
      <c r="M19" s="198">
        <v>0.995</v>
      </c>
      <c r="N19" s="198">
        <v>0.996</v>
      </c>
      <c r="O19" s="198">
        <v>0.996</v>
      </c>
      <c r="P19" s="199">
        <f>AVERAGE(M19:O19)</f>
        <v>0.9956666666666667</v>
      </c>
      <c r="Q19" s="198">
        <v>0.996</v>
      </c>
      <c r="R19" s="250">
        <v>0.997</v>
      </c>
      <c r="S19" s="198">
        <v>0.997</v>
      </c>
      <c r="T19" s="199">
        <f>AVERAGE(Q19:S19)</f>
        <v>0.99666666666666659</v>
      </c>
      <c r="U19" s="251" t="s">
        <v>11</v>
      </c>
      <c r="V19" s="252">
        <f>+U18/U16</f>
        <v>0.9909212773184366</v>
      </c>
    </row>
    <row r="20" spans="1:24" s="27" customFormat="1" ht="40.5" customHeight="1" x14ac:dyDescent="0.35">
      <c r="A20" s="107"/>
      <c r="B20" s="15" t="s">
        <v>36</v>
      </c>
      <c r="C20" s="23" t="s">
        <v>8</v>
      </c>
      <c r="D20" s="95" t="s">
        <v>9</v>
      </c>
      <c r="E20" s="200">
        <v>2075.8000000000002</v>
      </c>
      <c r="F20" s="201">
        <v>1968.4</v>
      </c>
      <c r="G20" s="200">
        <v>1991.7</v>
      </c>
      <c r="H20" s="202">
        <f>AVERAGE(E20:G20)</f>
        <v>2011.9666666666669</v>
      </c>
      <c r="I20" s="293">
        <v>2470</v>
      </c>
      <c r="J20" s="293">
        <v>2353.6999999999998</v>
      </c>
      <c r="K20" s="293">
        <v>2129.3000000000002</v>
      </c>
      <c r="L20" s="294">
        <f>AVERAGE(I20:K20)</f>
        <v>2317.6666666666665</v>
      </c>
      <c r="M20" s="201">
        <v>773.8</v>
      </c>
      <c r="N20" s="201">
        <v>580.4</v>
      </c>
      <c r="O20" s="201">
        <v>690.6</v>
      </c>
      <c r="P20" s="202">
        <f>AVERAGE(M20:O20)</f>
        <v>681.59999999999991</v>
      </c>
      <c r="Q20" s="201">
        <v>657</v>
      </c>
      <c r="R20" s="201">
        <v>488.4</v>
      </c>
      <c r="S20" s="201">
        <v>622.4</v>
      </c>
      <c r="T20" s="202">
        <f>AVERAGE(Q20:S20)</f>
        <v>589.26666666666677</v>
      </c>
      <c r="U20" s="248">
        <f>+S20+R20+Q20+O20+N20+M20+K20+J20+I20+G20+F20+E20</f>
        <v>16801.5</v>
      </c>
      <c r="V20" s="253">
        <f>+U20/12</f>
        <v>1400.125</v>
      </c>
    </row>
    <row r="21" spans="1:24" s="25" customFormat="1" ht="30" customHeight="1" thickBot="1" x14ac:dyDescent="0.3">
      <c r="A21" s="109"/>
      <c r="B21" s="32" t="s">
        <v>31</v>
      </c>
      <c r="C21" s="33" t="s">
        <v>10</v>
      </c>
      <c r="D21" s="96"/>
      <c r="E21" s="203">
        <v>1.4E-2</v>
      </c>
      <c r="F21" s="204">
        <v>1.4E-2</v>
      </c>
      <c r="G21" s="203">
        <v>1.2999999999999999E-2</v>
      </c>
      <c r="H21" s="205">
        <f>+H20/H16</f>
        <v>1.3789440257334045E-2</v>
      </c>
      <c r="I21" s="295">
        <v>1.6E-2</v>
      </c>
      <c r="J21" s="295">
        <v>1.6E-2</v>
      </c>
      <c r="K21" s="295">
        <v>1.4999999999999999E-2</v>
      </c>
      <c r="L21" s="296">
        <f>AVERAGE(I21:K21)</f>
        <v>1.5666666666666666E-2</v>
      </c>
      <c r="M21" s="204">
        <v>5.0000000000000001E-3</v>
      </c>
      <c r="N21" s="204">
        <v>4.0000000000000001E-3</v>
      </c>
      <c r="O21" s="204">
        <v>4.0000000000000001E-3</v>
      </c>
      <c r="P21" s="205">
        <f>AVERAGE(M21:O21)</f>
        <v>4.333333333333334E-3</v>
      </c>
      <c r="Q21" s="204">
        <v>4.0000000000000001E-3</v>
      </c>
      <c r="R21" s="254">
        <v>3.0000000000000001E-3</v>
      </c>
      <c r="S21" s="254">
        <v>3.0000000000000001E-3</v>
      </c>
      <c r="T21" s="205">
        <f>AVERAGE(Q21:S21)</f>
        <v>3.3333333333333335E-3</v>
      </c>
      <c r="U21" s="255" t="s">
        <v>11</v>
      </c>
      <c r="V21" s="256">
        <f>+U20/U16</f>
        <v>9.0787226815633778E-3</v>
      </c>
    </row>
    <row r="22" spans="1:24" ht="30" customHeight="1" thickTop="1" x14ac:dyDescent="0.25">
      <c r="A22" s="104" t="s">
        <v>24</v>
      </c>
      <c r="B22" s="113" t="s">
        <v>37</v>
      </c>
      <c r="C22" s="114" t="s">
        <v>19</v>
      </c>
      <c r="D22" s="115" t="s">
        <v>16</v>
      </c>
      <c r="E22" s="206">
        <v>46196.7</v>
      </c>
      <c r="F22" s="207">
        <v>44671.7</v>
      </c>
      <c r="G22" s="206">
        <v>48750.5</v>
      </c>
      <c r="H22" s="208">
        <f>AVERAGE(E22:G22)</f>
        <v>46539.633333333331</v>
      </c>
      <c r="I22" s="297">
        <v>51861.599999999999</v>
      </c>
      <c r="J22" s="297">
        <v>51403.4</v>
      </c>
      <c r="K22" s="297">
        <v>51261.5</v>
      </c>
      <c r="L22" s="298">
        <f>AVERAGE(I22:K22)</f>
        <v>51508.833333333336</v>
      </c>
      <c r="M22" s="207">
        <v>54592.7</v>
      </c>
      <c r="N22" s="207">
        <v>48718.6</v>
      </c>
      <c r="O22" s="207">
        <v>53812.4</v>
      </c>
      <c r="P22" s="208">
        <f>AVERAGE(M22:O22)</f>
        <v>52374.566666666658</v>
      </c>
      <c r="Q22" s="207">
        <v>58632.3</v>
      </c>
      <c r="R22" s="207">
        <v>53446.7</v>
      </c>
      <c r="S22" s="207">
        <v>62590.400000000001</v>
      </c>
      <c r="T22" s="208">
        <f>AVERAGE(Q22:S22)</f>
        <v>58223.133333333331</v>
      </c>
      <c r="U22" s="257">
        <f>+S22+R22+Q22+O22+N22+M22+K22+J22+I22+G22+F22+E22+0.1</f>
        <v>625938.6</v>
      </c>
      <c r="V22" s="261">
        <f>+U22/12</f>
        <v>52161.549999999996</v>
      </c>
    </row>
    <row r="23" spans="1:24" ht="30" customHeight="1" x14ac:dyDescent="0.25">
      <c r="A23" s="105"/>
      <c r="B23" s="10" t="s">
        <v>14</v>
      </c>
      <c r="C23" s="29" t="s">
        <v>38</v>
      </c>
      <c r="D23" s="99" t="s">
        <v>16</v>
      </c>
      <c r="E23" s="212">
        <f>E22/E8</f>
        <v>2099.85</v>
      </c>
      <c r="F23" s="213">
        <f>F22/F8</f>
        <v>2233.585</v>
      </c>
      <c r="G23" s="212">
        <f>G22/G8</f>
        <v>2321.4523809523807</v>
      </c>
      <c r="H23" s="214">
        <f>SUM(E22:G22)/SUM(E8:G8)</f>
        <v>2216.1730158730156</v>
      </c>
      <c r="I23" s="301">
        <f>I22/I8</f>
        <v>2469.6</v>
      </c>
      <c r="J23" s="301">
        <f>J22/J8</f>
        <v>2447.7809523809524</v>
      </c>
      <c r="K23" s="301">
        <f>K22/K8</f>
        <v>2563.0749999999998</v>
      </c>
      <c r="L23" s="302">
        <f>SUM(I22:K22)/SUM(I8:K8)</f>
        <v>2492.3629032258063</v>
      </c>
      <c r="M23" s="213">
        <f>M22/M8</f>
        <v>2373.5956521739131</v>
      </c>
      <c r="N23" s="213">
        <f>N22/N8</f>
        <v>2435.9299999999998</v>
      </c>
      <c r="O23" s="213">
        <f>O22/O8</f>
        <v>2446.0181818181818</v>
      </c>
      <c r="P23" s="214">
        <f>SUM(M22:O22)/SUM(M8:O8)</f>
        <v>2417.2876923076919</v>
      </c>
      <c r="Q23" s="213">
        <f>Q22/Q8</f>
        <v>2549.2304347826089</v>
      </c>
      <c r="R23" s="213">
        <f>R22/R8</f>
        <v>2812.9842105263156</v>
      </c>
      <c r="S23" s="213">
        <f>S22/S8</f>
        <v>2982.199352010673</v>
      </c>
      <c r="T23" s="214">
        <f>SUM(Q22:S22)/SUM(Q8:S8)</f>
        <v>2773.0583603226009</v>
      </c>
      <c r="U23" s="262" t="s">
        <v>11</v>
      </c>
      <c r="V23" s="263">
        <f>+U22/U8</f>
        <v>2474.1829651999305</v>
      </c>
    </row>
    <row r="24" spans="1:24" s="27" customFormat="1" ht="42.75" customHeight="1" x14ac:dyDescent="0.35">
      <c r="A24" s="107"/>
      <c r="B24" s="15" t="s">
        <v>36</v>
      </c>
      <c r="C24" s="86" t="s">
        <v>19</v>
      </c>
      <c r="D24" s="95" t="s">
        <v>16</v>
      </c>
      <c r="E24" s="200">
        <v>45750.1</v>
      </c>
      <c r="F24" s="201">
        <v>44281.8</v>
      </c>
      <c r="G24" s="200">
        <v>48280.3</v>
      </c>
      <c r="H24" s="202">
        <f>AVERAGE(E24:G24)</f>
        <v>46104.066666666673</v>
      </c>
      <c r="I24" s="293">
        <v>51340</v>
      </c>
      <c r="J24" s="293">
        <v>50896.6</v>
      </c>
      <c r="K24" s="293">
        <v>50757.7</v>
      </c>
      <c r="L24" s="294">
        <f>AVERAGE(I24:K24)</f>
        <v>50998.1</v>
      </c>
      <c r="M24" s="201">
        <v>54080.2</v>
      </c>
      <c r="N24" s="201">
        <v>48247.199999999997</v>
      </c>
      <c r="O24" s="201">
        <v>53224.3</v>
      </c>
      <c r="P24" s="202">
        <f>AVERAGE(M24:O24)</f>
        <v>51850.566666666673</v>
      </c>
      <c r="Q24" s="201">
        <v>58046.3</v>
      </c>
      <c r="R24" s="201">
        <v>52931.6</v>
      </c>
      <c r="S24" s="201">
        <v>61952</v>
      </c>
      <c r="T24" s="202">
        <f>AVERAGE(Q24:S24)</f>
        <v>57643.299999999996</v>
      </c>
      <c r="U24" s="248">
        <f>+S24+R24+Q24+O24+N24+M24+K24+J24+I24+G24+F24+E24-0.1</f>
        <v>619788.00000000012</v>
      </c>
      <c r="V24" s="253">
        <f>+U24/12</f>
        <v>51649.000000000007</v>
      </c>
    </row>
    <row r="25" spans="1:24" s="25" customFormat="1" ht="30" customHeight="1" x14ac:dyDescent="0.25">
      <c r="A25" s="108"/>
      <c r="B25" s="9" t="s">
        <v>32</v>
      </c>
      <c r="C25" s="20" t="s">
        <v>21</v>
      </c>
      <c r="D25" s="94"/>
      <c r="E25" s="197">
        <f>E24/E22</f>
        <v>0.99033264280781963</v>
      </c>
      <c r="F25" s="198">
        <f>F24/F22</f>
        <v>0.9912718790643742</v>
      </c>
      <c r="G25" s="197">
        <f>G24/G22</f>
        <v>0.99035497071824907</v>
      </c>
      <c r="H25" s="199">
        <f>+H24/H22</f>
        <v>0.99064095190550872</v>
      </c>
      <c r="I25" s="291">
        <v>0.99</v>
      </c>
      <c r="J25" s="291">
        <v>0.99</v>
      </c>
      <c r="K25" s="291">
        <v>0.99</v>
      </c>
      <c r="L25" s="292">
        <f>+L24/L22</f>
        <v>0.99008454860493178</v>
      </c>
      <c r="M25" s="198">
        <v>0.99099999999999999</v>
      </c>
      <c r="N25" s="198">
        <v>0.99</v>
      </c>
      <c r="O25" s="198">
        <v>0.98899999999999999</v>
      </c>
      <c r="P25" s="199">
        <f>+P24/P22</f>
        <v>0.98999514395345856</v>
      </c>
      <c r="Q25" s="198">
        <v>0.99</v>
      </c>
      <c r="R25" s="250">
        <v>0.99</v>
      </c>
      <c r="S25" s="198">
        <v>0.99</v>
      </c>
      <c r="T25" s="199">
        <f>+T24/T22</f>
        <v>0.99004118637838101</v>
      </c>
      <c r="U25" s="264" t="s">
        <v>11</v>
      </c>
      <c r="V25" s="265">
        <f>+U24/U22</f>
        <v>0.99017379659921934</v>
      </c>
      <c r="X25" s="28"/>
    </row>
    <row r="26" spans="1:24" s="27" customFormat="1" ht="37.5" customHeight="1" x14ac:dyDescent="0.35">
      <c r="A26" s="107"/>
      <c r="B26" s="15" t="s">
        <v>36</v>
      </c>
      <c r="C26" s="87" t="s">
        <v>19</v>
      </c>
      <c r="D26" s="95" t="s">
        <v>16</v>
      </c>
      <c r="E26" s="200">
        <v>446.6</v>
      </c>
      <c r="F26" s="201">
        <v>389.9</v>
      </c>
      <c r="G26" s="200">
        <v>470.2</v>
      </c>
      <c r="H26" s="202">
        <f>AVERAGE(E26:G26)</f>
        <v>435.56666666666666</v>
      </c>
      <c r="I26" s="293">
        <v>521.6</v>
      </c>
      <c r="J26" s="293">
        <v>506.8</v>
      </c>
      <c r="K26" s="293">
        <v>503.8</v>
      </c>
      <c r="L26" s="294">
        <f>AVERAGE(I26:K26)</f>
        <v>510.73333333333335</v>
      </c>
      <c r="M26" s="201">
        <v>512.5</v>
      </c>
      <c r="N26" s="201">
        <v>471.4</v>
      </c>
      <c r="O26" s="201">
        <v>588.20000000000005</v>
      </c>
      <c r="P26" s="202">
        <f>AVERAGE(M26:O26)</f>
        <v>524.0333333333333</v>
      </c>
      <c r="Q26" s="201">
        <v>586</v>
      </c>
      <c r="R26" s="201">
        <v>515.20000000000005</v>
      </c>
      <c r="S26" s="201">
        <v>638.4</v>
      </c>
      <c r="T26" s="202">
        <f>AVERAGE(Q26:S26)</f>
        <v>579.86666666666667</v>
      </c>
      <c r="U26" s="248">
        <f>+S26+R26+Q26+O26+N26+M26+K26+J26+I26+G26+F26+E26</f>
        <v>6150.6</v>
      </c>
      <c r="V26" s="266">
        <f>+U26/12-0.1</f>
        <v>512.45000000000005</v>
      </c>
    </row>
    <row r="27" spans="1:24" s="25" customFormat="1" ht="30" customHeight="1" thickBot="1" x14ac:dyDescent="0.3">
      <c r="A27" s="109"/>
      <c r="B27" s="32" t="s">
        <v>31</v>
      </c>
      <c r="C27" s="33" t="s">
        <v>21</v>
      </c>
      <c r="D27" s="96"/>
      <c r="E27" s="203">
        <f>E26/E22</f>
        <v>9.6673571921803945E-3</v>
      </c>
      <c r="F27" s="204">
        <f>F26/F22</f>
        <v>8.7281209356259108E-3</v>
      </c>
      <c r="G27" s="203">
        <f>G26/G22</f>
        <v>9.6450292817509553E-3</v>
      </c>
      <c r="H27" s="205">
        <f>+H26/H22</f>
        <v>9.3590480944915049E-3</v>
      </c>
      <c r="I27" s="295">
        <v>0.01</v>
      </c>
      <c r="J27" s="295">
        <v>0.01</v>
      </c>
      <c r="K27" s="295">
        <v>0.01</v>
      </c>
      <c r="L27" s="296">
        <f>+L26/L22</f>
        <v>9.9154513950681592E-3</v>
      </c>
      <c r="M27" s="204">
        <v>8.9999999999999993E-3</v>
      </c>
      <c r="N27" s="204">
        <v>0.01</v>
      </c>
      <c r="O27" s="204">
        <v>1.0999999999999999E-2</v>
      </c>
      <c r="P27" s="205">
        <f>+P26/P22</f>
        <v>1.0005492487766009E-2</v>
      </c>
      <c r="Q27" s="204">
        <v>0.01</v>
      </c>
      <c r="R27" s="254">
        <v>0.01</v>
      </c>
      <c r="S27" s="254">
        <v>0.01</v>
      </c>
      <c r="T27" s="205">
        <f>+T26/T22</f>
        <v>9.9593861317437398E-3</v>
      </c>
      <c r="U27" s="267" t="s">
        <v>11</v>
      </c>
      <c r="V27" s="268">
        <f>+U26/U22</f>
        <v>9.8262034007808446E-3</v>
      </c>
    </row>
    <row r="28" spans="1:24" ht="30" customHeight="1" thickTop="1" x14ac:dyDescent="0.25">
      <c r="A28" s="104" t="s">
        <v>33</v>
      </c>
      <c r="B28" s="113" t="s">
        <v>34</v>
      </c>
      <c r="C28" s="177" t="s">
        <v>18</v>
      </c>
      <c r="D28" s="97"/>
      <c r="E28" s="215">
        <v>1919</v>
      </c>
      <c r="F28" s="216">
        <v>1908</v>
      </c>
      <c r="G28" s="215">
        <v>1988</v>
      </c>
      <c r="H28" s="217">
        <f>AVERAGE(E28:G28)</f>
        <v>1938.3333333333333</v>
      </c>
      <c r="I28" s="303">
        <v>1979</v>
      </c>
      <c r="J28" s="303">
        <v>1967</v>
      </c>
      <c r="K28" s="303">
        <v>1967</v>
      </c>
      <c r="L28" s="304">
        <f>AVERAGE(I28:K28)</f>
        <v>1971</v>
      </c>
      <c r="M28" s="216">
        <v>1940</v>
      </c>
      <c r="N28" s="216">
        <v>1939</v>
      </c>
      <c r="O28" s="216">
        <v>1937</v>
      </c>
      <c r="P28" s="217">
        <f>AVERAGE(M28:O28)</f>
        <v>1938.6666666666667</v>
      </c>
      <c r="Q28" s="216">
        <v>1939</v>
      </c>
      <c r="R28" s="216">
        <v>1950</v>
      </c>
      <c r="S28" s="216">
        <v>1950</v>
      </c>
      <c r="T28" s="217">
        <f>AVERAGE(Q28:S28)</f>
        <v>1946.3333333333333</v>
      </c>
      <c r="U28" s="269" t="s">
        <v>11</v>
      </c>
      <c r="V28" s="270">
        <f>AVERAGE(E28:G28,I28:K28,M28:O28,Q28:S28)</f>
        <v>1948.5833333333333</v>
      </c>
    </row>
    <row r="29" spans="1:24" ht="30" customHeight="1" x14ac:dyDescent="0.25">
      <c r="A29" s="110"/>
      <c r="B29" s="11"/>
      <c r="C29" s="119" t="s">
        <v>19</v>
      </c>
      <c r="D29" s="120" t="s">
        <v>16</v>
      </c>
      <c r="E29" s="218">
        <v>36384.9</v>
      </c>
      <c r="F29" s="219">
        <v>36431.1</v>
      </c>
      <c r="G29" s="218">
        <v>39226.300000000003</v>
      </c>
      <c r="H29" s="220">
        <f>AVERAGE(E29:G29)</f>
        <v>37347.433333333334</v>
      </c>
      <c r="I29" s="305">
        <v>41648.300000000003</v>
      </c>
      <c r="J29" s="305">
        <v>41302.199999999997</v>
      </c>
      <c r="K29" s="305">
        <v>42041.5</v>
      </c>
      <c r="L29" s="306">
        <f>AVERAGE(I29:K29)</f>
        <v>41664</v>
      </c>
      <c r="M29" s="219">
        <v>45899</v>
      </c>
      <c r="N29" s="219">
        <v>41394.800000000003</v>
      </c>
      <c r="O29" s="219">
        <v>46076.3</v>
      </c>
      <c r="P29" s="220">
        <f>AVERAGE(M29:O29)</f>
        <v>44456.700000000004</v>
      </c>
      <c r="Q29" s="219">
        <v>49653.5</v>
      </c>
      <c r="R29" s="219">
        <v>45540.800000000003</v>
      </c>
      <c r="S29" s="219">
        <v>54467.6</v>
      </c>
      <c r="T29" s="220">
        <f>AVERAGE(Q29:S29)</f>
        <v>49887.299999999996</v>
      </c>
      <c r="U29" s="271">
        <f>+S29+R29+Q29+O29+N29+M29+K29+J29+I29+G29+F29+E29</f>
        <v>520066.3</v>
      </c>
      <c r="V29" s="272">
        <f>+U29/12</f>
        <v>43338.85833333333</v>
      </c>
    </row>
    <row r="30" spans="1:24" ht="30" customHeight="1" x14ac:dyDescent="0.25">
      <c r="A30" s="110"/>
      <c r="B30" s="11"/>
      <c r="C30" s="2" t="s">
        <v>20</v>
      </c>
      <c r="D30" s="100" t="s">
        <v>16</v>
      </c>
      <c r="E30" s="221">
        <f>E29/E8</f>
        <v>1653.859090909091</v>
      </c>
      <c r="F30" s="222">
        <f>F29/F8</f>
        <v>1821.5549999999998</v>
      </c>
      <c r="G30" s="221">
        <f>G29/G8</f>
        <v>1867.9190476190477</v>
      </c>
      <c r="H30" s="223">
        <f>SUM(E29:G29)/SUM(E8:G8)</f>
        <v>1778.4492063492064</v>
      </c>
      <c r="I30" s="307">
        <f>I29/I8</f>
        <v>1983.2523809523811</v>
      </c>
      <c r="J30" s="307">
        <f>J29/J8</f>
        <v>1966.7714285714285</v>
      </c>
      <c r="K30" s="307">
        <f>K29/K8</f>
        <v>2102.0749999999998</v>
      </c>
      <c r="L30" s="308">
        <f>SUM(I29:K29)/SUM(I8:K8)</f>
        <v>2016</v>
      </c>
      <c r="M30" s="222">
        <f>M29/M8</f>
        <v>1995.608695652174</v>
      </c>
      <c r="N30" s="222">
        <f>N29/N8</f>
        <v>2069.7400000000002</v>
      </c>
      <c r="O30" s="222">
        <f>O29/O8</f>
        <v>2094.3772727272731</v>
      </c>
      <c r="P30" s="223">
        <f>SUM(M29:O29)/SUM(M8:O8)</f>
        <v>2051.8476923076923</v>
      </c>
      <c r="Q30" s="222">
        <f>Q29/Q8</f>
        <v>2158.8478260869565</v>
      </c>
      <c r="R30" s="222">
        <f>R29/R8</f>
        <v>2396.8842105263161</v>
      </c>
      <c r="S30" s="222">
        <f>S29/S8</f>
        <v>2595.1781970649895</v>
      </c>
      <c r="T30" s="223">
        <f>SUM(Q29:S29)/SUM(Q8:S8)</f>
        <v>2376.0382930081919</v>
      </c>
      <c r="U30" s="273" t="s">
        <v>25</v>
      </c>
      <c r="V30" s="274">
        <f>U29/U8</f>
        <v>2055.6955270605722</v>
      </c>
    </row>
    <row r="31" spans="1:24" ht="30" customHeight="1" x14ac:dyDescent="0.25">
      <c r="A31" s="110"/>
      <c r="B31" s="11"/>
      <c r="C31" s="2" t="s">
        <v>21</v>
      </c>
      <c r="D31" s="100"/>
      <c r="E31" s="224">
        <f>E29/E22</f>
        <v>0.78760820578093249</v>
      </c>
      <c r="F31" s="225">
        <f>F29/F22</f>
        <v>0.81552974254393729</v>
      </c>
      <c r="G31" s="224">
        <f>G29/G22</f>
        <v>0.80463379862770645</v>
      </c>
      <c r="H31" s="226">
        <f>+H29/H22</f>
        <v>0.8024866260943182</v>
      </c>
      <c r="I31" s="309">
        <v>0.80300000000000005</v>
      </c>
      <c r="J31" s="309">
        <v>0.80300000000000005</v>
      </c>
      <c r="K31" s="309">
        <v>0.82</v>
      </c>
      <c r="L31" s="310">
        <f>AVERAGE(I31:K31)</f>
        <v>0.80866666666666676</v>
      </c>
      <c r="M31" s="225">
        <v>0.84099999999999997</v>
      </c>
      <c r="N31" s="225">
        <v>0.85</v>
      </c>
      <c r="O31" s="225">
        <v>0.85599999999999998</v>
      </c>
      <c r="P31" s="226">
        <f>AVERAGE(M31:O31)</f>
        <v>0.84899999999999987</v>
      </c>
      <c r="Q31" s="225">
        <v>0.84699999999999998</v>
      </c>
      <c r="R31" s="278">
        <v>0.85199999999999998</v>
      </c>
      <c r="S31" s="278">
        <v>0.87</v>
      </c>
      <c r="T31" s="226">
        <f>AVERAGE(Q31:S31)</f>
        <v>0.85633333333333328</v>
      </c>
      <c r="U31" s="273" t="s">
        <v>11</v>
      </c>
      <c r="V31" s="275">
        <f>+U29/U22</f>
        <v>0.83085833019404776</v>
      </c>
    </row>
    <row r="32" spans="1:24" ht="30" customHeight="1" x14ac:dyDescent="0.25">
      <c r="A32" s="110"/>
      <c r="B32" s="11"/>
      <c r="C32" s="2" t="s">
        <v>22</v>
      </c>
      <c r="D32" s="100" t="s">
        <v>23</v>
      </c>
      <c r="E32" s="221">
        <v>3.7</v>
      </c>
      <c r="F32" s="222">
        <v>3.7</v>
      </c>
      <c r="G32" s="221">
        <v>3.7</v>
      </c>
      <c r="H32" s="223">
        <f>AVERAGE(E32:G32)</f>
        <v>3.7000000000000006</v>
      </c>
      <c r="I32" s="307">
        <v>3.4</v>
      </c>
      <c r="J32" s="307">
        <v>3.4</v>
      </c>
      <c r="K32" s="307">
        <v>3.3</v>
      </c>
      <c r="L32" s="308">
        <f>SUM(I33:K33)/SUM(I29:K29)</f>
        <v>3.3884880632360472</v>
      </c>
      <c r="M32" s="222">
        <v>3.4</v>
      </c>
      <c r="N32" s="222">
        <v>3.4</v>
      </c>
      <c r="O32" s="222">
        <v>3.3</v>
      </c>
      <c r="P32" s="223">
        <f>SUM(M33:O33)/SUM(M29:O29)</f>
        <v>3.3771497509561734</v>
      </c>
      <c r="Q32" s="222">
        <v>3.3</v>
      </c>
      <c r="R32" s="222">
        <v>3.3</v>
      </c>
      <c r="S32" s="222">
        <v>3.3</v>
      </c>
      <c r="T32" s="223">
        <f>SUM(Q33:S33)/SUM(Q29:S29)</f>
        <v>3.3289855333922667</v>
      </c>
      <c r="U32" s="262" t="s">
        <v>11</v>
      </c>
      <c r="V32" s="274">
        <f>AVERAGE(E32:G32,I32:K32,M32:O32,Q32:S32)</f>
        <v>3.4333333333333331</v>
      </c>
    </row>
    <row r="33" spans="1:22" ht="30" customHeight="1" x14ac:dyDescent="0.25">
      <c r="A33" s="110"/>
      <c r="B33" s="11"/>
      <c r="C33" s="124" t="s">
        <v>26</v>
      </c>
      <c r="D33" s="125" t="s">
        <v>9</v>
      </c>
      <c r="E33" s="230">
        <v>135681</v>
      </c>
      <c r="F33" s="231">
        <v>135185.5</v>
      </c>
      <c r="G33" s="230">
        <v>143671.4</v>
      </c>
      <c r="H33" s="232">
        <f>AVERAGE(E33:G33)</f>
        <v>138179.30000000002</v>
      </c>
      <c r="I33" s="315">
        <v>143583.70000000001</v>
      </c>
      <c r="J33" s="315">
        <v>139694.79999999999</v>
      </c>
      <c r="K33" s="315">
        <v>140255.4</v>
      </c>
      <c r="L33" s="316">
        <f>AVERAGE(I33:K33)</f>
        <v>141177.96666666667</v>
      </c>
      <c r="M33" s="231">
        <v>156612</v>
      </c>
      <c r="N33" s="231">
        <v>140871.79999999999</v>
      </c>
      <c r="O33" s="231">
        <v>152927</v>
      </c>
      <c r="P33" s="232">
        <f>AVERAGE(M33:O33)</f>
        <v>150136.93333333332</v>
      </c>
      <c r="Q33" s="231">
        <v>165534.5</v>
      </c>
      <c r="R33" s="231">
        <v>150935.70000000001</v>
      </c>
      <c r="S33" s="231">
        <v>181752.1</v>
      </c>
      <c r="T33" s="232">
        <f>AVERAGE(Q33:S33)</f>
        <v>166074.1</v>
      </c>
      <c r="U33" s="271">
        <f>+S33+R33+Q33+O33+N33+M33+K33+J33+I33+G33+F33+E33</f>
        <v>1786704.9</v>
      </c>
      <c r="V33" s="279">
        <f>+U33/12</f>
        <v>148892.07499999998</v>
      </c>
    </row>
    <row r="34" spans="1:22" ht="30" customHeight="1" x14ac:dyDescent="0.25">
      <c r="A34" s="110"/>
      <c r="B34" s="11"/>
      <c r="C34" s="2"/>
      <c r="D34" s="100" t="s">
        <v>9</v>
      </c>
      <c r="E34" s="221">
        <f>E33/E8</f>
        <v>6167.318181818182</v>
      </c>
      <c r="F34" s="222">
        <f>F33/F8</f>
        <v>6759.2749999999996</v>
      </c>
      <c r="G34" s="221">
        <f>G33/G8</f>
        <v>6841.4952380952382</v>
      </c>
      <c r="H34" s="223">
        <f>SUM(E33:G33)/SUM(E8:G8)</f>
        <v>6579.9666666666672</v>
      </c>
      <c r="I34" s="307">
        <f>I33/I8</f>
        <v>6837.3190476190484</v>
      </c>
      <c r="J34" s="307">
        <f>J33/J8</f>
        <v>6652.1333333333332</v>
      </c>
      <c r="K34" s="307">
        <f>K33/K8</f>
        <v>7012.7699999999995</v>
      </c>
      <c r="L34" s="308">
        <f>SUM(I33:K33)/SUM(I8:K8)</f>
        <v>6831.191935483871</v>
      </c>
      <c r="M34" s="222">
        <f>M33/M8</f>
        <v>6809.217391304348</v>
      </c>
      <c r="N34" s="222">
        <f>N33/N8</f>
        <v>7043.5899999999992</v>
      </c>
      <c r="O34" s="222">
        <f>O33/O8</f>
        <v>6951.227272727273</v>
      </c>
      <c r="P34" s="223">
        <f>SUM(M33:O33)/SUM(M8:O8)</f>
        <v>6929.3969230769226</v>
      </c>
      <c r="Q34" s="222">
        <f>Q33/Q8</f>
        <v>7197.152173913043</v>
      </c>
      <c r="R34" s="222">
        <f>R33/R8</f>
        <v>7943.984210526316</v>
      </c>
      <c r="S34" s="222">
        <f>S33/S8</f>
        <v>8659.8103678292355</v>
      </c>
      <c r="T34" s="223">
        <f>SUM(Q33:S33)/SUM(Q8:S8)</f>
        <v>7909.7971042103263</v>
      </c>
      <c r="U34" s="273" t="s">
        <v>11</v>
      </c>
      <c r="V34" s="274">
        <f>U33/U8</f>
        <v>7062.4096795104906</v>
      </c>
    </row>
    <row r="35" spans="1:22" ht="30" customHeight="1" thickBot="1" x14ac:dyDescent="0.3">
      <c r="A35" s="111"/>
      <c r="B35" s="13"/>
      <c r="C35" s="14" t="s">
        <v>10</v>
      </c>
      <c r="D35" s="101"/>
      <c r="E35" s="227">
        <v>0.94099999999999995</v>
      </c>
      <c r="F35" s="228">
        <v>0.95</v>
      </c>
      <c r="G35" s="227">
        <v>0.95</v>
      </c>
      <c r="H35" s="229">
        <f>AVERAGE(E35:G35)</f>
        <v>0.94700000000000006</v>
      </c>
      <c r="I35" s="313">
        <v>0.94899999999999995</v>
      </c>
      <c r="J35" s="313">
        <v>0.94899999999999995</v>
      </c>
      <c r="K35" s="313">
        <v>0.95599999999999996</v>
      </c>
      <c r="L35" s="314">
        <f>AVERAGE(I35:K35)</f>
        <v>0.95133333333333336</v>
      </c>
      <c r="M35" s="228">
        <v>0.97</v>
      </c>
      <c r="N35" s="228">
        <v>0.97699999999999998</v>
      </c>
      <c r="O35" s="228">
        <v>0.97899999999999998</v>
      </c>
      <c r="P35" s="229">
        <f>AVERAGE(M35:O35)</f>
        <v>0.97533333333333339</v>
      </c>
      <c r="Q35" s="228">
        <v>0.98099999999999998</v>
      </c>
      <c r="R35" s="280">
        <v>0.98499999999999999</v>
      </c>
      <c r="S35" s="280">
        <v>0.98699999999999999</v>
      </c>
      <c r="T35" s="229">
        <f>AVERAGE(Q35:S35)</f>
        <v>0.98433333333333328</v>
      </c>
      <c r="U35" s="276" t="s">
        <v>11</v>
      </c>
      <c r="V35" s="277">
        <f>+U33/U16</f>
        <v>0.96544941230785497</v>
      </c>
    </row>
    <row r="36" spans="1:22" ht="30" customHeight="1" thickTop="1" x14ac:dyDescent="0.25">
      <c r="A36" s="104" t="s">
        <v>39</v>
      </c>
      <c r="B36" s="113" t="s">
        <v>35</v>
      </c>
      <c r="C36" s="177" t="s">
        <v>18</v>
      </c>
      <c r="D36" s="97"/>
      <c r="E36" s="215">
        <v>3028</v>
      </c>
      <c r="F36" s="216">
        <v>2191</v>
      </c>
      <c r="G36" s="215">
        <v>2268</v>
      </c>
      <c r="H36" s="217">
        <f>AVERAGE(E36:G36)</f>
        <v>2495.6666666666665</v>
      </c>
      <c r="I36" s="303">
        <v>2130</v>
      </c>
      <c r="J36" s="303">
        <v>2116</v>
      </c>
      <c r="K36" s="303">
        <v>2016</v>
      </c>
      <c r="L36" s="304">
        <f>AVERAGE(I36:K36)</f>
        <v>2087.3333333333335</v>
      </c>
      <c r="M36" s="216">
        <v>1891</v>
      </c>
      <c r="N36" s="216">
        <v>1765</v>
      </c>
      <c r="O36" s="216">
        <v>1668</v>
      </c>
      <c r="P36" s="217">
        <f>AVERAGE(M36:O36)</f>
        <v>1774.6666666666667</v>
      </c>
      <c r="Q36" s="216">
        <v>1576</v>
      </c>
      <c r="R36" s="216">
        <v>1493</v>
      </c>
      <c r="S36" s="216">
        <v>1446</v>
      </c>
      <c r="T36" s="217">
        <f>AVERAGE(Q36:S36)</f>
        <v>1505</v>
      </c>
      <c r="U36" s="269" t="s">
        <v>11</v>
      </c>
      <c r="V36" s="270">
        <f>AVERAGE(E36:G36,I36:K36,M36:O36,Q36:S36)</f>
        <v>1965.6666666666667</v>
      </c>
    </row>
    <row r="37" spans="1:22" ht="30" customHeight="1" x14ac:dyDescent="0.25">
      <c r="A37" s="105"/>
      <c r="B37" s="11"/>
      <c r="C37" s="119" t="s">
        <v>19</v>
      </c>
      <c r="D37" s="120" t="s">
        <v>16</v>
      </c>
      <c r="E37" s="218">
        <v>9811.7999999999993</v>
      </c>
      <c r="F37" s="219">
        <v>8240.6</v>
      </c>
      <c r="G37" s="218">
        <v>9524.2000000000007</v>
      </c>
      <c r="H37" s="220">
        <f>AVERAGE(E37:G37)</f>
        <v>9192.2000000000007</v>
      </c>
      <c r="I37" s="305">
        <v>10213.200000000001</v>
      </c>
      <c r="J37" s="305">
        <v>10101.200000000001</v>
      </c>
      <c r="K37" s="305">
        <v>9220</v>
      </c>
      <c r="L37" s="306">
        <f>AVERAGE(I37:K37)</f>
        <v>9844.8000000000011</v>
      </c>
      <c r="M37" s="219">
        <v>8693.7000000000007</v>
      </c>
      <c r="N37" s="219">
        <v>7323.8</v>
      </c>
      <c r="O37" s="219">
        <v>7736.2</v>
      </c>
      <c r="P37" s="220">
        <f>AVERAGE(M37:O37)</f>
        <v>7917.9000000000005</v>
      </c>
      <c r="Q37" s="219">
        <v>8978.7999999999993</v>
      </c>
      <c r="R37" s="219">
        <v>7905.9</v>
      </c>
      <c r="S37" s="219">
        <v>8122.8</v>
      </c>
      <c r="T37" s="220">
        <f>AVERAGE(Q37:S37)</f>
        <v>8335.8333333333321</v>
      </c>
      <c r="U37" s="271">
        <f>S37+R37+Q37+O37+N37+M37+K37+J37+I37+G37+F37+E37+0.1</f>
        <v>105872.3</v>
      </c>
      <c r="V37" s="272">
        <f>+U37/12</f>
        <v>8822.6916666666675</v>
      </c>
    </row>
    <row r="38" spans="1:22" ht="30" customHeight="1" x14ac:dyDescent="0.25">
      <c r="A38" s="105"/>
      <c r="B38" s="11"/>
      <c r="C38" s="1" t="s">
        <v>20</v>
      </c>
      <c r="D38" s="100" t="s">
        <v>16</v>
      </c>
      <c r="E38" s="221">
        <f>E37/E24</f>
        <v>0.21446510499430602</v>
      </c>
      <c r="F38" s="222">
        <f>F37/F24</f>
        <v>0.18609451286984721</v>
      </c>
      <c r="G38" s="221">
        <f>G37/G24</f>
        <v>0.19726886535502058</v>
      </c>
      <c r="H38" s="223">
        <f>SUM(E37:G37)/SUM(E24:G24)</f>
        <v>0.19937937506597395</v>
      </c>
      <c r="I38" s="307">
        <f>I37/I24</f>
        <v>0.19893260615504482</v>
      </c>
      <c r="J38" s="307">
        <f>J37/J24</f>
        <v>0.19846512340706454</v>
      </c>
      <c r="K38" s="307">
        <f>K37/K24</f>
        <v>0.18164731656477737</v>
      </c>
      <c r="L38" s="308">
        <f>SUM(I37:K37)/SUM(I24:K24)</f>
        <v>0.19304248589653342</v>
      </c>
      <c r="M38" s="222">
        <f>M37/M24</f>
        <v>0.16075569247155153</v>
      </c>
      <c r="N38" s="222">
        <f>N37/N24</f>
        <v>0.15179741000514022</v>
      </c>
      <c r="O38" s="222">
        <f>O37/O24</f>
        <v>0.14535090174976467</v>
      </c>
      <c r="P38" s="223">
        <f>SUM(M37:O37)/SUM(M24:O24)</f>
        <v>0.15270614207366426</v>
      </c>
      <c r="Q38" s="222">
        <f>Q37/Q24</f>
        <v>0.15468341651405859</v>
      </c>
      <c r="R38" s="222">
        <f>R37/R24</f>
        <v>0.14936068435490329</v>
      </c>
      <c r="S38" s="222">
        <f>S37/20</f>
        <v>406.14</v>
      </c>
      <c r="T38" s="223">
        <f>SUM(Q37:S37)/SUM(Q24:S24)</f>
        <v>0.14461061967884095</v>
      </c>
      <c r="U38" s="273" t="s">
        <v>11</v>
      </c>
      <c r="V38" s="274">
        <f>U37/U24</f>
        <v>0.17082018367570845</v>
      </c>
    </row>
    <row r="39" spans="1:22" ht="30" customHeight="1" x14ac:dyDescent="0.25">
      <c r="A39" s="105"/>
      <c r="B39" s="11"/>
      <c r="C39" s="1" t="s">
        <v>21</v>
      </c>
      <c r="D39" s="100"/>
      <c r="E39" s="224">
        <f>E37/E29</f>
        <v>0.26966681233148915</v>
      </c>
      <c r="F39" s="225">
        <f>F37/F29</f>
        <v>0.22619684829719663</v>
      </c>
      <c r="G39" s="224">
        <f>G37/G29</f>
        <v>0.24280138580493191</v>
      </c>
      <c r="H39" s="226">
        <f>+H37/H30</f>
        <v>5.1686604077210125</v>
      </c>
      <c r="I39" s="309">
        <v>0.19700000000000001</v>
      </c>
      <c r="J39" s="309">
        <v>0.19700000000000001</v>
      </c>
      <c r="K39" s="309">
        <v>0.18</v>
      </c>
      <c r="L39" s="310">
        <f>AVERAGE(I39:K39)</f>
        <v>0.19133333333333336</v>
      </c>
      <c r="M39" s="225">
        <v>0.159</v>
      </c>
      <c r="N39" s="225">
        <v>0.15</v>
      </c>
      <c r="O39" s="225">
        <v>0.14399999999999999</v>
      </c>
      <c r="P39" s="226">
        <f>AVERAGE(M39:O39)</f>
        <v>0.151</v>
      </c>
      <c r="Q39" s="225">
        <v>0.153</v>
      </c>
      <c r="R39" s="278">
        <v>0.14799999999999999</v>
      </c>
      <c r="S39" s="278">
        <v>0.13</v>
      </c>
      <c r="T39" s="226">
        <f>AVERAGE(Q39:S39)</f>
        <v>0.14366666666666666</v>
      </c>
      <c r="U39" s="273" t="s">
        <v>11</v>
      </c>
      <c r="V39" s="275" t="e">
        <f>+U37/U30</f>
        <v>#VALUE!</v>
      </c>
    </row>
    <row r="40" spans="1:22" ht="30" customHeight="1" x14ac:dyDescent="0.25">
      <c r="A40" s="105"/>
      <c r="B40" s="11"/>
      <c r="C40" s="12" t="s">
        <v>22</v>
      </c>
      <c r="D40" s="98" t="s">
        <v>23</v>
      </c>
      <c r="E40" s="209">
        <f>E41/E37</f>
        <v>0.8635010905236552</v>
      </c>
      <c r="F40" s="210">
        <f>F41/F37</f>
        <v>0.87159915540130573</v>
      </c>
      <c r="G40" s="209">
        <f>G41/G37</f>
        <v>0.79020810146783982</v>
      </c>
      <c r="H40" s="211">
        <f>AVERAGE(E40:G40)</f>
        <v>0.84176944913093354</v>
      </c>
      <c r="I40" s="299">
        <v>0.7</v>
      </c>
      <c r="J40" s="299">
        <v>0.7</v>
      </c>
      <c r="K40" s="299">
        <v>0.7</v>
      </c>
      <c r="L40" s="300">
        <f>SUM(I41:K41)/SUM(I37:K37)</f>
        <v>0.73166206186684002</v>
      </c>
      <c r="M40" s="210">
        <v>0.6</v>
      </c>
      <c r="N40" s="210">
        <v>0.5</v>
      </c>
      <c r="O40" s="210">
        <v>0.4</v>
      </c>
      <c r="P40" s="211">
        <f>SUM(M41:O41)/SUM(M37:O37)</f>
        <v>0.4800052202393732</v>
      </c>
      <c r="Q40" s="311">
        <v>0.3</v>
      </c>
      <c r="R40" s="210">
        <v>0.3</v>
      </c>
      <c r="S40" s="210">
        <v>0.3</v>
      </c>
      <c r="T40" s="312">
        <f>SUM(Q41:S41)/SUM(Q37:S37)</f>
        <v>0.30985904228731387</v>
      </c>
      <c r="U40" s="259" t="s">
        <v>11</v>
      </c>
      <c r="V40" s="260">
        <f>AVERAGE(E40:G40,I40:K40,M40:O40,Q40:S40)</f>
        <v>0.58544236228273339</v>
      </c>
    </row>
    <row r="41" spans="1:22" ht="30" customHeight="1" x14ac:dyDescent="0.25">
      <c r="A41" s="105"/>
      <c r="B41" s="11"/>
      <c r="C41" s="119" t="s">
        <v>8</v>
      </c>
      <c r="D41" s="120" t="s">
        <v>9</v>
      </c>
      <c r="E41" s="218">
        <v>8472.5</v>
      </c>
      <c r="F41" s="219">
        <v>7182.5</v>
      </c>
      <c r="G41" s="218">
        <v>7526.1</v>
      </c>
      <c r="H41" s="220">
        <f>AVERAGE(E41:G41)</f>
        <v>7727.0333333333328</v>
      </c>
      <c r="I41" s="305">
        <v>7639.8</v>
      </c>
      <c r="J41" s="305">
        <v>7479.1</v>
      </c>
      <c r="K41" s="305">
        <v>6490.3</v>
      </c>
      <c r="L41" s="306">
        <f>AVERAGE(I41:K41)</f>
        <v>7203.0666666666666</v>
      </c>
      <c r="M41" s="219">
        <v>4848.5</v>
      </c>
      <c r="N41" s="219">
        <v>3339.3</v>
      </c>
      <c r="O41" s="219">
        <v>3214.1</v>
      </c>
      <c r="P41" s="220">
        <f>AVERAGE(M41:O41)</f>
        <v>3800.6333333333332</v>
      </c>
      <c r="Q41" s="219">
        <v>3140.3</v>
      </c>
      <c r="R41" s="219">
        <v>2288.4</v>
      </c>
      <c r="S41" s="219">
        <v>2320.1</v>
      </c>
      <c r="T41" s="220">
        <f>AVERAGE(Q41:S41)</f>
        <v>2582.9333333333338</v>
      </c>
      <c r="U41" s="271">
        <f>+S41+R41+Q41+O41+N41+M41+K41+J41+I41+G41+F41+E41</f>
        <v>63941</v>
      </c>
      <c r="V41" s="272">
        <f>+U41/12</f>
        <v>5328.416666666667</v>
      </c>
    </row>
    <row r="42" spans="1:22" ht="30" customHeight="1" x14ac:dyDescent="0.25">
      <c r="A42" s="105"/>
      <c r="B42" s="11"/>
      <c r="C42" s="1" t="s">
        <v>20</v>
      </c>
      <c r="D42" s="100" t="s">
        <v>9</v>
      </c>
      <c r="E42" s="221">
        <f>E41/E24</f>
        <v>0.18519085204185345</v>
      </c>
      <c r="F42" s="222">
        <f>F41/F24</f>
        <v>0.16219982024217625</v>
      </c>
      <c r="G42" s="221">
        <f>G41/G24</f>
        <v>0.15588345557090574</v>
      </c>
      <c r="H42" s="223">
        <f>SUM(E41:G41)/SUM(E24:G24)</f>
        <v>0.16759982127390061</v>
      </c>
      <c r="I42" s="307">
        <f>I41/I24</f>
        <v>0.14880794701986755</v>
      </c>
      <c r="J42" s="307">
        <f>J41/J24</f>
        <v>0.14694694734029387</v>
      </c>
      <c r="K42" s="307">
        <f>K41/K24</f>
        <v>0.1278682840239018</v>
      </c>
      <c r="L42" s="308">
        <f>SUM(I41:K41)/SUM(I24:K24)</f>
        <v>0.14124186325895802</v>
      </c>
      <c r="M42" s="222">
        <f>M41/M24</f>
        <v>8.9653884416107929E-2</v>
      </c>
      <c r="N42" s="222">
        <f>N41/N24</f>
        <v>6.9212306620902359E-2</v>
      </c>
      <c r="O42" s="222">
        <f>O41/O24</f>
        <v>6.0387830370714123E-2</v>
      </c>
      <c r="P42" s="223">
        <f>SUM(M41:O41)/SUM(M24:O24)</f>
        <v>7.3299745357974219E-2</v>
      </c>
      <c r="Q42" s="222">
        <f>Q41/Q24</f>
        <v>5.4099916790562017E-2</v>
      </c>
      <c r="R42" s="222">
        <f>R41/R24</f>
        <v>4.3233153730474802E-2</v>
      </c>
      <c r="S42" s="222">
        <f>S41/S24</f>
        <v>3.744996126033058E-2</v>
      </c>
      <c r="T42" s="223">
        <f>SUM(Q41:S41)/SUM(Q24:S24)</f>
        <v>4.4808908118260646E-2</v>
      </c>
      <c r="U42" s="273" t="s">
        <v>11</v>
      </c>
      <c r="V42" s="274">
        <f>U41/U24</f>
        <v>0.10316592125049208</v>
      </c>
    </row>
    <row r="43" spans="1:22" ht="30" customHeight="1" thickBot="1" x14ac:dyDescent="0.3">
      <c r="A43" s="106"/>
      <c r="B43" s="13"/>
      <c r="C43" s="14" t="s">
        <v>10</v>
      </c>
      <c r="D43" s="101"/>
      <c r="E43" s="227">
        <v>5.8999999999999997E-2</v>
      </c>
      <c r="F43" s="228">
        <v>0.05</v>
      </c>
      <c r="G43" s="227">
        <v>0.05</v>
      </c>
      <c r="H43" s="229">
        <f>AVERAGE(E43:G43)</f>
        <v>5.2999999999999999E-2</v>
      </c>
      <c r="I43" s="313">
        <v>5.0999999999999997E-2</v>
      </c>
      <c r="J43" s="313">
        <v>5.0999999999999997E-2</v>
      </c>
      <c r="K43" s="313">
        <v>4.3999999999999997E-2</v>
      </c>
      <c r="L43" s="314">
        <f>AVERAGE(I43:K43)</f>
        <v>4.8666666666666664E-2</v>
      </c>
      <c r="M43" s="228">
        <v>0.03</v>
      </c>
      <c r="N43" s="228">
        <v>2.3E-2</v>
      </c>
      <c r="O43" s="228">
        <v>2.1000000000000001E-2</v>
      </c>
      <c r="P43" s="229">
        <f>AVERAGE(M43:O43)</f>
        <v>2.4666666666666667E-2</v>
      </c>
      <c r="Q43" s="228">
        <v>1.9E-2</v>
      </c>
      <c r="R43" s="280">
        <v>1.4999999999999999E-2</v>
      </c>
      <c r="S43" s="280">
        <v>1.2999999999999999E-2</v>
      </c>
      <c r="T43" s="229">
        <f>AVERAGE(Q43:S43)</f>
        <v>1.5666666666666666E-2</v>
      </c>
      <c r="U43" s="276" t="s">
        <v>11</v>
      </c>
      <c r="V43" s="277" t="e">
        <f>+U41/#REF!</f>
        <v>#REF!</v>
      </c>
    </row>
    <row r="44" spans="1:22" ht="12" thickTop="1" x14ac:dyDescent="0.25"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2" x14ac:dyDescent="0.25"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2" x14ac:dyDescent="0.25"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2" x14ac:dyDescent="0.25"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2" x14ac:dyDescent="0.25"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  <row r="2058" spans="5:22" x14ac:dyDescent="0.25">
      <c r="E2058" s="183"/>
      <c r="F2058" s="183"/>
      <c r="G2058" s="183"/>
      <c r="H2058" s="183"/>
      <c r="I2058" s="183"/>
      <c r="J2058" s="183"/>
      <c r="K2058" s="183"/>
      <c r="L2058" s="183"/>
      <c r="M2058" s="183"/>
      <c r="N2058" s="183"/>
      <c r="O2058" s="183"/>
      <c r="P2058" s="183"/>
      <c r="Q2058" s="183"/>
      <c r="R2058" s="183"/>
      <c r="S2058" s="183"/>
      <c r="T2058" s="183"/>
      <c r="U2058" s="183"/>
      <c r="V2058" s="183"/>
    </row>
    <row r="2059" spans="5:22" x14ac:dyDescent="0.25">
      <c r="E2059" s="183"/>
      <c r="F2059" s="183"/>
      <c r="G2059" s="183"/>
      <c r="H2059" s="183"/>
      <c r="I2059" s="183"/>
      <c r="J2059" s="183"/>
      <c r="K2059" s="183"/>
      <c r="L2059" s="183"/>
      <c r="M2059" s="183"/>
      <c r="N2059" s="183"/>
      <c r="O2059" s="183"/>
      <c r="P2059" s="183"/>
      <c r="Q2059" s="183"/>
      <c r="R2059" s="183"/>
      <c r="S2059" s="183"/>
      <c r="T2059" s="183"/>
      <c r="U2059" s="183"/>
      <c r="V2059" s="183"/>
    </row>
    <row r="2060" spans="5:22" x14ac:dyDescent="0.25">
      <c r="E2060" s="183"/>
      <c r="F2060" s="183"/>
      <c r="G2060" s="183"/>
      <c r="H2060" s="183"/>
      <c r="I2060" s="183"/>
      <c r="J2060" s="183"/>
      <c r="K2060" s="183"/>
      <c r="L2060" s="183"/>
      <c r="M2060" s="183"/>
      <c r="N2060" s="183"/>
      <c r="O2060" s="183"/>
      <c r="P2060" s="183"/>
      <c r="Q2060" s="183"/>
      <c r="R2060" s="183"/>
      <c r="S2060" s="183"/>
      <c r="T2060" s="183"/>
      <c r="U2060" s="183"/>
      <c r="V2060" s="183"/>
    </row>
  </sheetData>
  <mergeCells count="5">
    <mergeCell ref="B14:B15"/>
    <mergeCell ref="B6:C7"/>
    <mergeCell ref="B8:C8"/>
    <mergeCell ref="B9:C9"/>
    <mergeCell ref="B12:B13"/>
  </mergeCells>
  <phoneticPr fontId="16" type="noConversion"/>
  <pageMargins left="0.75" right="0.75" top="1" bottom="1" header="0.5" footer="0.5"/>
  <pageSetup paperSize="9" scale="34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X44"/>
  <sheetViews>
    <sheetView topLeftCell="A26" zoomScale="87" zoomScaleNormal="87" zoomScaleSheetLayoutView="75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2.69921875" style="3" customWidth="1"/>
    <col min="4" max="4" width="8.69921875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5.89843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5.39843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2" ht="17.5" x14ac:dyDescent="0.35">
      <c r="A1" s="18" t="s">
        <v>41</v>
      </c>
      <c r="B1" s="18"/>
      <c r="C1" s="18"/>
      <c r="V1" s="38"/>
    </row>
    <row r="2" spans="1:22" ht="17.5" x14ac:dyDescent="0.35">
      <c r="A2" s="18" t="s">
        <v>0</v>
      </c>
      <c r="B2" s="18"/>
      <c r="C2" s="18"/>
    </row>
    <row r="3" spans="1:22" ht="39" customHeight="1" x14ac:dyDescent="0.4">
      <c r="A3" s="4" t="s">
        <v>42</v>
      </c>
      <c r="B3" s="4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134" customFormat="1" ht="18.75" customHeight="1" x14ac:dyDescent="0.25">
      <c r="A4" s="131" t="s">
        <v>44</v>
      </c>
      <c r="B4" s="1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2" ht="30.75" customHeight="1" thickBot="1" x14ac:dyDescent="0.45">
      <c r="A5" s="7" t="s">
        <v>52</v>
      </c>
      <c r="B5" s="4"/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42" customHeight="1" thickTop="1" thickBot="1" x14ac:dyDescent="0.45">
      <c r="A6" s="112" t="s">
        <v>1</v>
      </c>
      <c r="B6" s="993" t="s">
        <v>2</v>
      </c>
      <c r="C6" s="993"/>
      <c r="D6" s="88" t="s">
        <v>3</v>
      </c>
      <c r="E6" s="142" t="s">
        <v>59</v>
      </c>
      <c r="F6" s="143" t="s">
        <v>60</v>
      </c>
      <c r="G6" s="142" t="s">
        <v>61</v>
      </c>
      <c r="H6" s="144" t="s">
        <v>54</v>
      </c>
      <c r="I6" s="143" t="s">
        <v>62</v>
      </c>
      <c r="J6" s="143" t="s">
        <v>63</v>
      </c>
      <c r="K6" s="143" t="s">
        <v>64</v>
      </c>
      <c r="L6" s="144" t="s">
        <v>55</v>
      </c>
      <c r="M6" s="143" t="s">
        <v>65</v>
      </c>
      <c r="N6" s="143" t="s">
        <v>66</v>
      </c>
      <c r="O6" s="143" t="s">
        <v>67</v>
      </c>
      <c r="P6" s="144" t="s">
        <v>56</v>
      </c>
      <c r="Q6" s="143" t="s">
        <v>68</v>
      </c>
      <c r="R6" s="143" t="s">
        <v>69</v>
      </c>
      <c r="S6" s="143" t="s">
        <v>70</v>
      </c>
      <c r="T6" s="144" t="s">
        <v>57</v>
      </c>
      <c r="U6" s="138" t="s">
        <v>46</v>
      </c>
      <c r="V6" s="139" t="s">
        <v>58</v>
      </c>
    </row>
    <row r="7" spans="1:22" ht="44.25" customHeight="1" thickTop="1" thickBot="1" x14ac:dyDescent="0.4">
      <c r="A7" s="102"/>
      <c r="B7" s="993"/>
      <c r="C7" s="993"/>
      <c r="D7" s="89" t="s">
        <v>4</v>
      </c>
      <c r="E7" s="16"/>
      <c r="F7" s="54"/>
      <c r="G7" s="16"/>
      <c r="H7" s="136" t="s">
        <v>45</v>
      </c>
      <c r="I7" s="137"/>
      <c r="J7" s="137"/>
      <c r="K7" s="137"/>
      <c r="L7" s="136" t="s">
        <v>45</v>
      </c>
      <c r="M7" s="137"/>
      <c r="N7" s="137"/>
      <c r="O7" s="137"/>
      <c r="P7" s="136" t="s">
        <v>45</v>
      </c>
      <c r="Q7" s="137"/>
      <c r="R7" s="137"/>
      <c r="S7" s="137"/>
      <c r="T7" s="136" t="s">
        <v>45</v>
      </c>
      <c r="U7" s="140" t="s">
        <v>53</v>
      </c>
      <c r="V7" s="141" t="s">
        <v>53</v>
      </c>
    </row>
    <row r="8" spans="1:22" ht="30" customHeight="1" thickTop="1" thickBot="1" x14ac:dyDescent="0.3">
      <c r="A8" s="103" t="s">
        <v>5</v>
      </c>
      <c r="B8" s="994" t="s">
        <v>6</v>
      </c>
      <c r="C8" s="994"/>
      <c r="D8" s="90"/>
      <c r="E8" s="41">
        <v>22</v>
      </c>
      <c r="F8" s="55">
        <v>20</v>
      </c>
      <c r="G8" s="41">
        <v>21</v>
      </c>
      <c r="H8" s="67">
        <f t="shared" ref="H8:H15" si="0">AVERAGE(E8:G8)</f>
        <v>21</v>
      </c>
      <c r="I8" s="55">
        <v>21</v>
      </c>
      <c r="J8" s="55">
        <v>20</v>
      </c>
      <c r="K8" s="55">
        <v>20</v>
      </c>
      <c r="L8" s="67">
        <f t="shared" ref="L8:L16" si="1">AVERAGE(I8:K8)</f>
        <v>20.333333333333332</v>
      </c>
      <c r="M8" s="55">
        <v>23</v>
      </c>
      <c r="N8" s="55">
        <v>21</v>
      </c>
      <c r="O8" s="55">
        <v>21</v>
      </c>
      <c r="P8" s="67">
        <f t="shared" ref="P8:P16" si="2">AVERAGE(M8:O8)</f>
        <v>21.666666666666668</v>
      </c>
      <c r="Q8" s="55">
        <v>23</v>
      </c>
      <c r="R8" s="55">
        <v>19</v>
      </c>
      <c r="S8" s="55">
        <v>20</v>
      </c>
      <c r="T8" s="67">
        <f t="shared" ref="T8:T16" si="3">AVERAGE(Q8:S8)</f>
        <v>20.666666666666668</v>
      </c>
      <c r="U8" s="39">
        <f>SUM(E8:G8,I8:K8,M8:O8,Q8:S8)</f>
        <v>251</v>
      </c>
      <c r="V8" s="40">
        <f>AVERAGE(E8:G8,I8:K8,M8:O8,Q8:S8)</f>
        <v>20.916666666666668</v>
      </c>
    </row>
    <row r="9" spans="1:22" ht="30" customHeight="1" thickTop="1" thickBot="1" x14ac:dyDescent="0.3">
      <c r="A9" s="103" t="s">
        <v>7</v>
      </c>
      <c r="B9" s="994" t="s">
        <v>40</v>
      </c>
      <c r="C9" s="994"/>
      <c r="D9" s="90"/>
      <c r="E9" s="41">
        <v>61</v>
      </c>
      <c r="F9" s="55">
        <v>62</v>
      </c>
      <c r="G9" s="41">
        <v>63</v>
      </c>
      <c r="H9" s="67">
        <f t="shared" si="0"/>
        <v>62</v>
      </c>
      <c r="I9" s="55">
        <v>60</v>
      </c>
      <c r="J9" s="55">
        <v>60</v>
      </c>
      <c r="K9" s="55">
        <v>59</v>
      </c>
      <c r="L9" s="67">
        <f t="shared" si="1"/>
        <v>59.666666666666664</v>
      </c>
      <c r="M9" s="55">
        <v>60</v>
      </c>
      <c r="N9" s="55">
        <v>59</v>
      </c>
      <c r="O9" s="55">
        <v>59</v>
      </c>
      <c r="P9" s="67">
        <f t="shared" si="2"/>
        <v>59.333333333333336</v>
      </c>
      <c r="Q9" s="55">
        <v>57</v>
      </c>
      <c r="R9" s="55">
        <v>57</v>
      </c>
      <c r="S9" s="55">
        <v>57</v>
      </c>
      <c r="T9" s="67">
        <f t="shared" si="3"/>
        <v>57</v>
      </c>
      <c r="U9" s="36" t="s">
        <v>11</v>
      </c>
      <c r="V9" s="40">
        <f>AVERAGE(E9:G9,I9:K9,M9:O9,Q9:S9)</f>
        <v>59.5</v>
      </c>
    </row>
    <row r="10" spans="1:22" ht="48" customHeight="1" thickTop="1" x14ac:dyDescent="0.35">
      <c r="A10" s="104" t="s">
        <v>12</v>
      </c>
      <c r="B10" s="129" t="s">
        <v>27</v>
      </c>
      <c r="C10" s="30" t="s">
        <v>8</v>
      </c>
      <c r="D10" s="91" t="s">
        <v>9</v>
      </c>
      <c r="E10" s="42">
        <v>90501.4</v>
      </c>
      <c r="F10" s="56">
        <v>82423.3</v>
      </c>
      <c r="G10" s="42">
        <v>85976.6</v>
      </c>
      <c r="H10" s="68">
        <f>AVERAGE(E10:G10)</f>
        <v>86300.433333333334</v>
      </c>
      <c r="I10" s="56">
        <v>87672</v>
      </c>
      <c r="J10" s="56">
        <v>83344</v>
      </c>
      <c r="K10" s="56">
        <v>79306.899999999994</v>
      </c>
      <c r="L10" s="68">
        <f t="shared" si="1"/>
        <v>83440.96666666666</v>
      </c>
      <c r="M10" s="56">
        <v>103252.7</v>
      </c>
      <c r="N10" s="56">
        <v>79173.7</v>
      </c>
      <c r="O10" s="56">
        <v>84756.7</v>
      </c>
      <c r="P10" s="68">
        <f t="shared" si="2"/>
        <v>89061.033333333326</v>
      </c>
      <c r="Q10" s="56">
        <v>96071.8</v>
      </c>
      <c r="R10" s="56">
        <v>83232</v>
      </c>
      <c r="S10" s="56">
        <v>95777</v>
      </c>
      <c r="T10" s="68">
        <f t="shared" si="3"/>
        <v>91693.599999999991</v>
      </c>
      <c r="U10" s="146">
        <f>+S10+R10+Q10+O10+N10+M10+K10+J10+I10+G10+F10+E10</f>
        <v>1051488.1000000001</v>
      </c>
      <c r="V10" s="147">
        <f>+U10/12</f>
        <v>87624.008333333346</v>
      </c>
    </row>
    <row r="11" spans="1:22" ht="30" customHeight="1" x14ac:dyDescent="0.25">
      <c r="A11" s="105"/>
      <c r="B11" s="130" t="s">
        <v>28</v>
      </c>
      <c r="C11" s="21" t="s">
        <v>10</v>
      </c>
      <c r="D11" s="92"/>
      <c r="E11" s="43">
        <v>0.218</v>
      </c>
      <c r="F11" s="57">
        <v>0.19500000000000001</v>
      </c>
      <c r="G11" s="44">
        <v>0.20100000000000001</v>
      </c>
      <c r="H11" s="69">
        <f>AVERAGE(E11:G11)</f>
        <v>0.20466666666666669</v>
      </c>
      <c r="I11" s="57">
        <v>0.23</v>
      </c>
      <c r="J11" s="57">
        <v>0.23</v>
      </c>
      <c r="K11" s="57">
        <v>0.222</v>
      </c>
      <c r="L11" s="69">
        <f t="shared" si="1"/>
        <v>0.22733333333333336</v>
      </c>
      <c r="M11" s="57">
        <v>0.24199999999999999</v>
      </c>
      <c r="N11" s="57">
        <v>0.20100000000000001</v>
      </c>
      <c r="O11" s="57">
        <v>0.22800000000000001</v>
      </c>
      <c r="P11" s="69">
        <f t="shared" si="2"/>
        <v>0.22366666666666668</v>
      </c>
      <c r="Q11" s="57">
        <v>0.221</v>
      </c>
      <c r="R11" s="70">
        <v>0.223</v>
      </c>
      <c r="S11" s="70">
        <v>0.247</v>
      </c>
      <c r="T11" s="69">
        <f t="shared" si="3"/>
        <v>0.23033333333333336</v>
      </c>
      <c r="U11" s="148" t="s">
        <v>11</v>
      </c>
      <c r="V11" s="149">
        <f>U10/U16</f>
        <v>0.22123170499345071</v>
      </c>
    </row>
    <row r="12" spans="1:22" ht="40.5" customHeight="1" x14ac:dyDescent="0.35">
      <c r="A12" s="105"/>
      <c r="B12" s="991" t="s">
        <v>29</v>
      </c>
      <c r="C12" s="24" t="s">
        <v>8</v>
      </c>
      <c r="D12" s="93" t="s">
        <v>9</v>
      </c>
      <c r="E12" s="45">
        <v>293067.8</v>
      </c>
      <c r="F12" s="58">
        <v>312924.79999999999</v>
      </c>
      <c r="G12" s="45">
        <v>312937.7</v>
      </c>
      <c r="H12" s="71">
        <f t="shared" si="0"/>
        <v>306310.10000000003</v>
      </c>
      <c r="I12" s="58">
        <v>262262</v>
      </c>
      <c r="J12" s="58">
        <v>250119.7</v>
      </c>
      <c r="K12" s="58">
        <v>249798.8</v>
      </c>
      <c r="L12" s="71">
        <f t="shared" si="1"/>
        <v>254060.16666666666</v>
      </c>
      <c r="M12" s="58">
        <v>292592.90000000002</v>
      </c>
      <c r="N12" s="58">
        <v>282192.2</v>
      </c>
      <c r="O12" s="58">
        <v>255941.1</v>
      </c>
      <c r="P12" s="71">
        <f t="shared" si="2"/>
        <v>276908.73333333334</v>
      </c>
      <c r="Q12" s="58">
        <v>302846.8</v>
      </c>
      <c r="R12" s="58">
        <v>255718.6</v>
      </c>
      <c r="S12" s="58">
        <v>252529.8</v>
      </c>
      <c r="T12" s="71">
        <f t="shared" si="3"/>
        <v>270365.06666666665</v>
      </c>
      <c r="U12" s="150">
        <f>+S12+R12+Q12+O12+N12+M12+K12+J12+I12+G12+F12+E12</f>
        <v>3322932.1999999997</v>
      </c>
      <c r="V12" s="151">
        <f>+U12/12</f>
        <v>276911.01666666666</v>
      </c>
    </row>
    <row r="13" spans="1:22" ht="30" customHeight="1" x14ac:dyDescent="0.25">
      <c r="A13" s="105"/>
      <c r="B13" s="991"/>
      <c r="C13" s="22" t="s">
        <v>10</v>
      </c>
      <c r="D13" s="94"/>
      <c r="E13" s="46">
        <v>0.70499999999999996</v>
      </c>
      <c r="F13" s="59">
        <v>0.74099999999999999</v>
      </c>
      <c r="G13" s="46">
        <v>0.73199999999999998</v>
      </c>
      <c r="H13" s="72">
        <f t="shared" si="0"/>
        <v>0.72599999999999998</v>
      </c>
      <c r="I13" s="59">
        <v>0.68799999999999994</v>
      </c>
      <c r="J13" s="59">
        <v>0.68899999999999995</v>
      </c>
      <c r="K13" s="59">
        <v>0.7</v>
      </c>
      <c r="L13" s="72">
        <f t="shared" si="1"/>
        <v>0.69233333333333336</v>
      </c>
      <c r="M13" s="59">
        <v>0.68600000000000005</v>
      </c>
      <c r="N13" s="59">
        <v>0.71699999999999997</v>
      </c>
      <c r="O13" s="59">
        <v>0.68799999999999994</v>
      </c>
      <c r="P13" s="72">
        <f t="shared" si="2"/>
        <v>0.69700000000000006</v>
      </c>
      <c r="Q13" s="59">
        <v>0.69799999999999995</v>
      </c>
      <c r="R13" s="73">
        <v>0.68500000000000005</v>
      </c>
      <c r="S13" s="73">
        <v>0.65200000000000002</v>
      </c>
      <c r="T13" s="72">
        <f t="shared" si="3"/>
        <v>0.67833333333333334</v>
      </c>
      <c r="U13" s="152" t="s">
        <v>11</v>
      </c>
      <c r="V13" s="153">
        <f>U12/U16</f>
        <v>0.69914053823684552</v>
      </c>
    </row>
    <row r="14" spans="1:22" ht="46.5" customHeight="1" x14ac:dyDescent="0.35">
      <c r="A14" s="105"/>
      <c r="B14" s="991" t="s">
        <v>30</v>
      </c>
      <c r="C14" s="23" t="s">
        <v>8</v>
      </c>
      <c r="D14" s="95" t="s">
        <v>9</v>
      </c>
      <c r="E14" s="47">
        <v>32150.1</v>
      </c>
      <c r="F14" s="60">
        <v>27201.3</v>
      </c>
      <c r="G14" s="47">
        <v>28315.8</v>
      </c>
      <c r="H14" s="74">
        <f t="shared" si="0"/>
        <v>29222.399999999998</v>
      </c>
      <c r="I14" s="60">
        <v>31131.1</v>
      </c>
      <c r="J14" s="60">
        <v>29431</v>
      </c>
      <c r="K14" s="60">
        <v>27499.8</v>
      </c>
      <c r="L14" s="74">
        <f t="shared" si="1"/>
        <v>29353.966666666664</v>
      </c>
      <c r="M14" s="60">
        <v>30928.6</v>
      </c>
      <c r="N14" s="60">
        <v>32345.4</v>
      </c>
      <c r="O14" s="60">
        <v>31161.599999999999</v>
      </c>
      <c r="P14" s="74">
        <f t="shared" si="2"/>
        <v>31478.533333333336</v>
      </c>
      <c r="Q14" s="60">
        <v>35054.199999999997</v>
      </c>
      <c r="R14" s="60">
        <v>34233.4</v>
      </c>
      <c r="S14" s="60">
        <v>39008.9</v>
      </c>
      <c r="T14" s="74">
        <f t="shared" si="3"/>
        <v>36098.833333333336</v>
      </c>
      <c r="U14" s="150">
        <f>+S14+R14+Q14+O14+N14+M14+K14+J14+I14+G14+F14+E14</f>
        <v>378461.19999999995</v>
      </c>
      <c r="V14" s="154">
        <f>+U14/12</f>
        <v>31538.433333333331</v>
      </c>
    </row>
    <row r="15" spans="1:22" ht="30" customHeight="1" thickBot="1" x14ac:dyDescent="0.3">
      <c r="A15" s="106"/>
      <c r="B15" s="992"/>
      <c r="C15" s="31" t="s">
        <v>10</v>
      </c>
      <c r="D15" s="96"/>
      <c r="E15" s="48">
        <v>7.6999999999999999E-2</v>
      </c>
      <c r="F15" s="61">
        <v>6.4000000000000001E-2</v>
      </c>
      <c r="G15" s="48">
        <v>6.6000000000000003E-2</v>
      </c>
      <c r="H15" s="75">
        <f t="shared" si="0"/>
        <v>6.9000000000000006E-2</v>
      </c>
      <c r="I15" s="61">
        <v>8.2000000000000003E-2</v>
      </c>
      <c r="J15" s="61">
        <v>8.1000000000000003E-2</v>
      </c>
      <c r="K15" s="61">
        <v>7.6999999999999999E-2</v>
      </c>
      <c r="L15" s="75">
        <f t="shared" si="1"/>
        <v>0.08</v>
      </c>
      <c r="M15" s="61">
        <v>7.1999999999999995E-2</v>
      </c>
      <c r="N15" s="61">
        <v>8.2000000000000003E-2</v>
      </c>
      <c r="O15" s="61">
        <v>8.4000000000000005E-2</v>
      </c>
      <c r="P15" s="75">
        <f t="shared" si="2"/>
        <v>7.9333333333333325E-2</v>
      </c>
      <c r="Q15" s="61">
        <v>8.1000000000000003E-2</v>
      </c>
      <c r="R15" s="76">
        <v>9.1999999999999998E-2</v>
      </c>
      <c r="S15" s="76">
        <v>0.10100000000000001</v>
      </c>
      <c r="T15" s="75">
        <f t="shared" si="3"/>
        <v>9.1333333333333336E-2</v>
      </c>
      <c r="U15" s="155" t="s">
        <v>11</v>
      </c>
      <c r="V15" s="156">
        <f>U14/U16</f>
        <v>7.9627735729835961E-2</v>
      </c>
    </row>
    <row r="16" spans="1:22" ht="30" customHeight="1" thickTop="1" x14ac:dyDescent="0.25">
      <c r="A16" s="104" t="s">
        <v>17</v>
      </c>
      <c r="B16" s="113" t="s">
        <v>13</v>
      </c>
      <c r="C16" s="114" t="s">
        <v>8</v>
      </c>
      <c r="D16" s="115" t="s">
        <v>9</v>
      </c>
      <c r="E16" s="116">
        <v>415719.3</v>
      </c>
      <c r="F16" s="117">
        <v>422549.4</v>
      </c>
      <c r="G16" s="116">
        <v>427230.1</v>
      </c>
      <c r="H16" s="118">
        <f>AVERAGE(E16:G16)</f>
        <v>421832.93333333329</v>
      </c>
      <c r="I16" s="117">
        <v>381065.1</v>
      </c>
      <c r="J16" s="117">
        <v>362894.7</v>
      </c>
      <c r="K16" s="117">
        <v>356605.6</v>
      </c>
      <c r="L16" s="118">
        <f t="shared" si="1"/>
        <v>366855.1333333333</v>
      </c>
      <c r="M16" s="117">
        <v>426774.2</v>
      </c>
      <c r="N16" s="117">
        <v>393711.3</v>
      </c>
      <c r="O16" s="117">
        <v>371859.3</v>
      </c>
      <c r="P16" s="118">
        <f t="shared" si="2"/>
        <v>397448.26666666666</v>
      </c>
      <c r="Q16" s="117">
        <v>433972.8</v>
      </c>
      <c r="R16" s="117">
        <v>373184</v>
      </c>
      <c r="S16" s="117">
        <v>387315.8</v>
      </c>
      <c r="T16" s="118">
        <f t="shared" si="3"/>
        <v>398157.53333333338</v>
      </c>
      <c r="U16" s="157">
        <f>+S16+R16+Q16+O16+N16+M16+K16+J16+I16+G16+F16+E16</f>
        <v>4752881.6000000006</v>
      </c>
      <c r="V16" s="158">
        <f>+U16/12</f>
        <v>396073.46666666673</v>
      </c>
    </row>
    <row r="17" spans="1:24" ht="30" customHeight="1" x14ac:dyDescent="0.25">
      <c r="A17" s="105"/>
      <c r="B17" s="10" t="s">
        <v>14</v>
      </c>
      <c r="C17" s="12" t="s">
        <v>15</v>
      </c>
      <c r="D17" s="98" t="s">
        <v>9</v>
      </c>
      <c r="E17" s="49">
        <f>E16/E8</f>
        <v>18896.331818181818</v>
      </c>
      <c r="F17" s="62">
        <f>F16/F8</f>
        <v>21127.47</v>
      </c>
      <c r="G17" s="49">
        <f>G16/G8</f>
        <v>20344.290476190476</v>
      </c>
      <c r="H17" s="77">
        <f>SUM(E16:G16)/SUM(E8:G8)</f>
        <v>20087.282539682536</v>
      </c>
      <c r="I17" s="62">
        <f>I16/I8</f>
        <v>18145.957142857143</v>
      </c>
      <c r="J17" s="62">
        <f>J16/J8</f>
        <v>18144.735000000001</v>
      </c>
      <c r="K17" s="62">
        <f>K16/K8</f>
        <v>17830.28</v>
      </c>
      <c r="L17" s="77">
        <f>SUM(I16:K16)/SUM(I8:K8)</f>
        <v>18042.055737704915</v>
      </c>
      <c r="M17" s="62">
        <f>M16/M8</f>
        <v>18555.400000000001</v>
      </c>
      <c r="N17" s="62">
        <f>N16/N8</f>
        <v>18748.157142857141</v>
      </c>
      <c r="O17" s="62">
        <f>O16/O8</f>
        <v>17707.585714285713</v>
      </c>
      <c r="P17" s="77">
        <f>SUM(M16:O16)/SUM(M8:O8)</f>
        <v>18343.766153846154</v>
      </c>
      <c r="Q17" s="62">
        <v>18868.400000000001</v>
      </c>
      <c r="R17" s="62">
        <f>R16/R8</f>
        <v>19641.263157894737</v>
      </c>
      <c r="S17" s="62">
        <f>S16/S8</f>
        <v>19365.79</v>
      </c>
      <c r="T17" s="77">
        <f>SUM(Q16:S16)/SUM(Q8:S8)</f>
        <v>19265.687096774196</v>
      </c>
      <c r="U17" s="159" t="s">
        <v>11</v>
      </c>
      <c r="V17" s="160">
        <f>U16/U8</f>
        <v>18935.783266932274</v>
      </c>
    </row>
    <row r="18" spans="1:24" s="27" customFormat="1" ht="40.5" customHeight="1" x14ac:dyDescent="0.35">
      <c r="A18" s="107"/>
      <c r="B18" s="15" t="s">
        <v>36</v>
      </c>
      <c r="C18" s="23" t="s">
        <v>8</v>
      </c>
      <c r="D18" s="95" t="s">
        <v>9</v>
      </c>
      <c r="E18" s="47">
        <v>413845.3</v>
      </c>
      <c r="F18" s="60">
        <v>420763.3</v>
      </c>
      <c r="G18" s="47">
        <v>425198.9</v>
      </c>
      <c r="H18" s="74">
        <f t="shared" ref="H18:H35" si="4">AVERAGE(E18:G18)</f>
        <v>419935.83333333331</v>
      </c>
      <c r="I18" s="60">
        <v>379073.6</v>
      </c>
      <c r="J18" s="60">
        <v>360778.2</v>
      </c>
      <c r="K18" s="60">
        <v>354622.4</v>
      </c>
      <c r="L18" s="74">
        <f>AVERAGE(I18:K18)</f>
        <v>364824.7333333334</v>
      </c>
      <c r="M18" s="60">
        <v>424620.3</v>
      </c>
      <c r="N18" s="60">
        <v>391669</v>
      </c>
      <c r="O18" s="60">
        <v>369681.3</v>
      </c>
      <c r="P18" s="74">
        <f>AVERAGE(M18:O18)</f>
        <v>395323.53333333338</v>
      </c>
      <c r="Q18" s="60">
        <v>431633.9</v>
      </c>
      <c r="R18" s="60">
        <v>371087</v>
      </c>
      <c r="S18" s="60">
        <v>383449.5</v>
      </c>
      <c r="T18" s="74">
        <f>AVERAGE(Q18:S18)</f>
        <v>395390.1333333333</v>
      </c>
      <c r="U18" s="150">
        <f>+S18+R18+Q18+O18+N18+M18+K18+J18+I18+G18+F18+E18</f>
        <v>4726422.7</v>
      </c>
      <c r="V18" s="154">
        <f>+U18/12</f>
        <v>393868.55833333335</v>
      </c>
    </row>
    <row r="19" spans="1:24" s="25" customFormat="1" ht="30" customHeight="1" x14ac:dyDescent="0.25">
      <c r="A19" s="108"/>
      <c r="B19" s="9" t="s">
        <v>32</v>
      </c>
      <c r="C19" s="26" t="s">
        <v>10</v>
      </c>
      <c r="D19" s="94"/>
      <c r="E19" s="46">
        <v>0.995</v>
      </c>
      <c r="F19" s="59">
        <v>0.996</v>
      </c>
      <c r="G19" s="46">
        <v>0.995</v>
      </c>
      <c r="H19" s="72">
        <f t="shared" si="4"/>
        <v>0.9953333333333334</v>
      </c>
      <c r="I19" s="59">
        <v>0.995</v>
      </c>
      <c r="J19" s="59">
        <v>0.99199999999999999</v>
      </c>
      <c r="K19" s="59">
        <v>0.99399999999999999</v>
      </c>
      <c r="L19" s="72">
        <f>AVERAGE(I19:K19)</f>
        <v>0.99366666666666659</v>
      </c>
      <c r="M19" s="59">
        <v>0.995</v>
      </c>
      <c r="N19" s="59">
        <v>0.995</v>
      </c>
      <c r="O19" s="59">
        <v>0.99399999999999999</v>
      </c>
      <c r="P19" s="72">
        <f>AVERAGE(M19:O19)</f>
        <v>0.9946666666666667</v>
      </c>
      <c r="Q19" s="59">
        <v>0.995</v>
      </c>
      <c r="R19" s="73">
        <v>0.99399999999999999</v>
      </c>
      <c r="S19" s="59">
        <v>0.99</v>
      </c>
      <c r="T19" s="72">
        <f>AVERAGE(Q19:S19)</f>
        <v>0.99299999999999999</v>
      </c>
      <c r="U19" s="152" t="s">
        <v>11</v>
      </c>
      <c r="V19" s="153">
        <f>+U18/U16</f>
        <v>0.99443308244834028</v>
      </c>
    </row>
    <row r="20" spans="1:24" s="27" customFormat="1" ht="40.5" customHeight="1" x14ac:dyDescent="0.35">
      <c r="A20" s="107"/>
      <c r="B20" s="15" t="s">
        <v>36</v>
      </c>
      <c r="C20" s="23" t="s">
        <v>8</v>
      </c>
      <c r="D20" s="95" t="s">
        <v>9</v>
      </c>
      <c r="E20" s="47">
        <v>1874</v>
      </c>
      <c r="F20" s="60">
        <v>1786.1</v>
      </c>
      <c r="G20" s="47">
        <v>2031.2</v>
      </c>
      <c r="H20" s="74">
        <f t="shared" si="4"/>
        <v>1897.1000000000001</v>
      </c>
      <c r="I20" s="60">
        <v>1991.5</v>
      </c>
      <c r="J20" s="60">
        <v>2116.5</v>
      </c>
      <c r="K20" s="60">
        <v>1983.2</v>
      </c>
      <c r="L20" s="74">
        <f>AVERAGE(I20:K20)</f>
        <v>2030.3999999999999</v>
      </c>
      <c r="M20" s="60">
        <v>2153.9</v>
      </c>
      <c r="N20" s="60">
        <v>2042.3</v>
      </c>
      <c r="O20" s="60">
        <v>2178</v>
      </c>
      <c r="P20" s="74">
        <f>AVERAGE(M20:O20)</f>
        <v>2124.7333333333331</v>
      </c>
      <c r="Q20" s="60">
        <v>2338.9</v>
      </c>
      <c r="R20" s="60">
        <v>2097</v>
      </c>
      <c r="S20" s="60">
        <v>3866.3</v>
      </c>
      <c r="T20" s="74">
        <f>AVERAGE(Q20:S20)</f>
        <v>2767.4</v>
      </c>
      <c r="U20" s="150">
        <f>+S20+R20+Q20+O20+N20+M20+K20+J20+I20+G20+F20+E20</f>
        <v>26458.899999999998</v>
      </c>
      <c r="V20" s="154">
        <f>+U20/12</f>
        <v>2204.9083333333333</v>
      </c>
    </row>
    <row r="21" spans="1:24" s="25" customFormat="1" ht="30" customHeight="1" thickBot="1" x14ac:dyDescent="0.3">
      <c r="A21" s="109"/>
      <c r="B21" s="32" t="s">
        <v>31</v>
      </c>
      <c r="C21" s="33" t="s">
        <v>10</v>
      </c>
      <c r="D21" s="96"/>
      <c r="E21" s="48">
        <v>5.0000000000000001E-3</v>
      </c>
      <c r="F21" s="61">
        <v>4.0000000000000001E-3</v>
      </c>
      <c r="G21" s="48">
        <v>5.0000000000000001E-3</v>
      </c>
      <c r="H21" s="75">
        <f t="shared" si="4"/>
        <v>4.6666666666666671E-3</v>
      </c>
      <c r="I21" s="61">
        <v>5.0000000000000001E-3</v>
      </c>
      <c r="J21" s="61">
        <v>8.0000000000000002E-3</v>
      </c>
      <c r="K21" s="61">
        <v>6.0000000000000001E-3</v>
      </c>
      <c r="L21" s="75">
        <f>AVERAGE(I21:K21)</f>
        <v>6.333333333333334E-3</v>
      </c>
      <c r="M21" s="61">
        <v>5.0000000000000001E-3</v>
      </c>
      <c r="N21" s="61">
        <v>5.0000000000000001E-3</v>
      </c>
      <c r="O21" s="61">
        <v>6.0000000000000001E-3</v>
      </c>
      <c r="P21" s="75">
        <f>AVERAGE(M21:O21)</f>
        <v>5.3333333333333332E-3</v>
      </c>
      <c r="Q21" s="61">
        <v>5.0000000000000001E-3</v>
      </c>
      <c r="R21" s="76">
        <v>6.0000000000000001E-3</v>
      </c>
      <c r="S21" s="76">
        <v>0.01</v>
      </c>
      <c r="T21" s="75">
        <f>AVERAGE(Q21:S21)</f>
        <v>6.9999999999999993E-3</v>
      </c>
      <c r="U21" s="155" t="s">
        <v>11</v>
      </c>
      <c r="V21" s="156">
        <f>+U20/U16</f>
        <v>5.5669175516596071E-3</v>
      </c>
    </row>
    <row r="22" spans="1:24" ht="30" customHeight="1" thickTop="1" x14ac:dyDescent="0.25">
      <c r="A22" s="104" t="s">
        <v>24</v>
      </c>
      <c r="B22" s="113" t="s">
        <v>37</v>
      </c>
      <c r="C22" s="114" t="s">
        <v>19</v>
      </c>
      <c r="D22" s="115" t="s">
        <v>16</v>
      </c>
      <c r="E22" s="116">
        <v>40508.300000000003</v>
      </c>
      <c r="F22" s="117">
        <v>38179.9</v>
      </c>
      <c r="G22" s="116">
        <v>41933.199999999997</v>
      </c>
      <c r="H22" s="118">
        <f>AVERAGE(E22:G22)</f>
        <v>40207.133333333339</v>
      </c>
      <c r="I22" s="117">
        <v>42276.6</v>
      </c>
      <c r="J22" s="117">
        <v>41078.6</v>
      </c>
      <c r="K22" s="117">
        <v>40793.5</v>
      </c>
      <c r="L22" s="118">
        <f>AVERAGE(I22:K22)</f>
        <v>41382.9</v>
      </c>
      <c r="M22" s="117">
        <v>44913.4</v>
      </c>
      <c r="N22" s="117">
        <v>40823.5</v>
      </c>
      <c r="O22" s="117">
        <v>42436.800000000003</v>
      </c>
      <c r="P22" s="118">
        <f>AVERAGE(M22:O22)</f>
        <v>42724.566666666666</v>
      </c>
      <c r="Q22" s="117">
        <v>47754.6</v>
      </c>
      <c r="R22" s="117">
        <v>43280.7</v>
      </c>
      <c r="S22" s="117">
        <v>47679.8</v>
      </c>
      <c r="T22" s="118">
        <f>AVERAGE(Q22:S22)</f>
        <v>46238.366666666661</v>
      </c>
      <c r="U22" s="157">
        <f>+S22+R22+Q22+O22+N22+M22+K22+J22+I22+G22+F22+E22</f>
        <v>511658.9</v>
      </c>
      <c r="V22" s="161">
        <f>+U22/12</f>
        <v>42638.241666666669</v>
      </c>
    </row>
    <row r="23" spans="1:24" ht="30" customHeight="1" x14ac:dyDescent="0.25">
      <c r="A23" s="105"/>
      <c r="B23" s="10" t="s">
        <v>14</v>
      </c>
      <c r="C23" s="29" t="s">
        <v>38</v>
      </c>
      <c r="D23" s="99" t="s">
        <v>16</v>
      </c>
      <c r="E23" s="50">
        <f>E22/E8</f>
        <v>1841.2863636363638</v>
      </c>
      <c r="F23" s="63">
        <f>F22/F8</f>
        <v>1908.9950000000001</v>
      </c>
      <c r="G23" s="50">
        <f>G22/G8</f>
        <v>1996.8190476190475</v>
      </c>
      <c r="H23" s="78">
        <f>SUM(E22:G22)/SUM(E8:G8)</f>
        <v>1914.625396825397</v>
      </c>
      <c r="I23" s="63">
        <f>I22/I8</f>
        <v>2013.1714285714286</v>
      </c>
      <c r="J23" s="63">
        <f>J22/J8</f>
        <v>2053.9299999999998</v>
      </c>
      <c r="K23" s="63">
        <f>K22/K8</f>
        <v>2039.675</v>
      </c>
      <c r="L23" s="78">
        <f>SUM(I22:K22)/SUM(I8:K8)</f>
        <v>2035.2245901639344</v>
      </c>
      <c r="M23" s="63">
        <f>M22/M8</f>
        <v>1952.7565217391304</v>
      </c>
      <c r="N23" s="63">
        <f>N22/N8</f>
        <v>1943.9761904761904</v>
      </c>
      <c r="O23" s="63">
        <f>O22/O8</f>
        <v>2020.8000000000002</v>
      </c>
      <c r="P23" s="78">
        <f>SUM(M22:O22)/SUM(M8:O8)</f>
        <v>1971.9030769230769</v>
      </c>
      <c r="Q23" s="63">
        <f>Q22/Q8</f>
        <v>2076.2869565217393</v>
      </c>
      <c r="R23" s="63">
        <f>R22/R8</f>
        <v>2277.9315789473681</v>
      </c>
      <c r="S23" s="63">
        <f>S22/S8</f>
        <v>2383.9900000000002</v>
      </c>
      <c r="T23" s="78">
        <f>SUM(Q22:S22)/SUM(Q8:S8)</f>
        <v>2237.3403225806446</v>
      </c>
      <c r="U23" s="162"/>
      <c r="V23" s="163">
        <f>+U22/U8</f>
        <v>2038.481673306773</v>
      </c>
    </row>
    <row r="24" spans="1:24" s="27" customFormat="1" ht="42.75" customHeight="1" x14ac:dyDescent="0.35">
      <c r="A24" s="107"/>
      <c r="B24" s="15" t="s">
        <v>36</v>
      </c>
      <c r="C24" s="86" t="s">
        <v>19</v>
      </c>
      <c r="D24" s="95" t="s">
        <v>16</v>
      </c>
      <c r="E24" s="47">
        <v>40137.5</v>
      </c>
      <c r="F24" s="60">
        <v>37842.400000000001</v>
      </c>
      <c r="G24" s="47">
        <v>41560.6</v>
      </c>
      <c r="H24" s="74">
        <f>AVERAGE(E24:G24)</f>
        <v>39846.833333333336</v>
      </c>
      <c r="I24" s="60">
        <v>41926.199999999997</v>
      </c>
      <c r="J24" s="60">
        <v>40709.699999999997</v>
      </c>
      <c r="K24" s="60">
        <v>40459.199999999997</v>
      </c>
      <c r="L24" s="74">
        <f t="shared" ref="L24:L29" si="5">AVERAGE(I24:K24)</f>
        <v>41031.699999999997</v>
      </c>
      <c r="M24" s="60">
        <v>44504.4</v>
      </c>
      <c r="N24" s="60">
        <v>40441.199999999997</v>
      </c>
      <c r="O24" s="60">
        <v>42043.199999999997</v>
      </c>
      <c r="P24" s="74">
        <f t="shared" ref="P24:P29" si="6">AVERAGE(M24:O24)</f>
        <v>42329.599999999999</v>
      </c>
      <c r="Q24" s="60">
        <v>47329.7</v>
      </c>
      <c r="R24" s="60">
        <v>42895.5</v>
      </c>
      <c r="S24" s="60">
        <v>47243</v>
      </c>
      <c r="T24" s="74">
        <f t="shared" ref="T24:T29" si="7">AVERAGE(Q24:S24)</f>
        <v>45822.733333333337</v>
      </c>
      <c r="U24" s="150">
        <f>+S24+R24+Q24+O24+N24+M24+K24+J24+I24+G24+F24+E24</f>
        <v>507092.60000000009</v>
      </c>
      <c r="V24" s="154">
        <f>+U24/12</f>
        <v>42257.716666666674</v>
      </c>
    </row>
    <row r="25" spans="1:24" s="25" customFormat="1" ht="30" customHeight="1" x14ac:dyDescent="0.25">
      <c r="A25" s="108"/>
      <c r="B25" s="9" t="s">
        <v>32</v>
      </c>
      <c r="C25" s="20" t="s">
        <v>21</v>
      </c>
      <c r="D25" s="94"/>
      <c r="E25" s="46">
        <f>E24/E22</f>
        <v>0.99084632038372378</v>
      </c>
      <c r="F25" s="59">
        <f>F24/F22</f>
        <v>0.99116027019452646</v>
      </c>
      <c r="G25" s="46">
        <f>G24/G22</f>
        <v>0.99111443915560948</v>
      </c>
      <c r="H25" s="72">
        <f>AVERAGE(E25:G25)</f>
        <v>0.99104034324461987</v>
      </c>
      <c r="I25" s="59">
        <v>0.99199999999999999</v>
      </c>
      <c r="J25" s="59">
        <v>0.99099999999999999</v>
      </c>
      <c r="K25" s="59">
        <v>0.99199999999999999</v>
      </c>
      <c r="L25" s="72">
        <f t="shared" si="5"/>
        <v>0.9916666666666667</v>
      </c>
      <c r="M25" s="59">
        <v>0.99099999999999999</v>
      </c>
      <c r="N25" s="59">
        <v>0.99099999999999999</v>
      </c>
      <c r="O25" s="59">
        <v>0.99099999999999999</v>
      </c>
      <c r="P25" s="72">
        <f t="shared" si="6"/>
        <v>0.99099999999999999</v>
      </c>
      <c r="Q25" s="59">
        <v>0.99099999999999999</v>
      </c>
      <c r="R25" s="73">
        <v>0.99099999999999999</v>
      </c>
      <c r="S25" s="59">
        <v>0.99099999999999999</v>
      </c>
      <c r="T25" s="72">
        <f t="shared" si="7"/>
        <v>0.99099999999999999</v>
      </c>
      <c r="U25" s="164" t="s">
        <v>11</v>
      </c>
      <c r="V25" s="165">
        <f>+U24/U22</f>
        <v>0.99107549971279707</v>
      </c>
      <c r="X25" s="28"/>
    </row>
    <row r="26" spans="1:24" s="27" customFormat="1" ht="37.5" customHeight="1" x14ac:dyDescent="0.35">
      <c r="A26" s="107"/>
      <c r="B26" s="15" t="s">
        <v>36</v>
      </c>
      <c r="C26" s="87" t="s">
        <v>19</v>
      </c>
      <c r="D26" s="95" t="s">
        <v>16</v>
      </c>
      <c r="E26" s="47">
        <v>370.8</v>
      </c>
      <c r="F26" s="60">
        <v>337.5</v>
      </c>
      <c r="G26" s="47">
        <v>372.6</v>
      </c>
      <c r="H26" s="74">
        <f>AVERAGE(E26:G26)</f>
        <v>360.3</v>
      </c>
      <c r="I26" s="60">
        <v>350.5</v>
      </c>
      <c r="J26" s="60">
        <v>368.9</v>
      </c>
      <c r="K26" s="60">
        <v>334.3</v>
      </c>
      <c r="L26" s="74">
        <f t="shared" si="5"/>
        <v>351.23333333333335</v>
      </c>
      <c r="M26" s="60">
        <v>409</v>
      </c>
      <c r="N26" s="60">
        <v>382.2</v>
      </c>
      <c r="O26" s="60">
        <v>393.6</v>
      </c>
      <c r="P26" s="74">
        <f t="shared" si="6"/>
        <v>394.93333333333339</v>
      </c>
      <c r="Q26" s="60">
        <v>424.9</v>
      </c>
      <c r="R26" s="60">
        <v>385.2</v>
      </c>
      <c r="S26" s="60">
        <v>436.8</v>
      </c>
      <c r="T26" s="74">
        <f t="shared" si="7"/>
        <v>415.63333333333327</v>
      </c>
      <c r="U26" s="150">
        <f>+S26+R26+Q26+O26+N26+M26+K26+J26+I26+G26+F26+E26</f>
        <v>4566.3</v>
      </c>
      <c r="V26" s="166">
        <f>+U26/12</f>
        <v>380.52500000000003</v>
      </c>
    </row>
    <row r="27" spans="1:24" s="25" customFormat="1" ht="30" customHeight="1" thickBot="1" x14ac:dyDescent="0.3">
      <c r="A27" s="109"/>
      <c r="B27" s="32" t="s">
        <v>31</v>
      </c>
      <c r="C27" s="33" t="s">
        <v>21</v>
      </c>
      <c r="D27" s="96"/>
      <c r="E27" s="48">
        <f>E26/E22</f>
        <v>9.1536796162761704E-3</v>
      </c>
      <c r="F27" s="61">
        <f>F26/F22</f>
        <v>8.8397298054735604E-3</v>
      </c>
      <c r="G27" s="48">
        <f>G26/G22</f>
        <v>8.8855608443906033E-3</v>
      </c>
      <c r="H27" s="75">
        <f>AVERAGE(E27:G27)</f>
        <v>8.9596567553801108E-3</v>
      </c>
      <c r="I27" s="61">
        <v>8.0000000000000002E-3</v>
      </c>
      <c r="J27" s="61">
        <v>8.9999999999999993E-3</v>
      </c>
      <c r="K27" s="61">
        <v>8.0000000000000002E-3</v>
      </c>
      <c r="L27" s="75">
        <f t="shared" si="5"/>
        <v>8.3333333333333332E-3</v>
      </c>
      <c r="M27" s="61">
        <v>8.9999999999999993E-3</v>
      </c>
      <c r="N27" s="61">
        <v>8.9999999999999993E-3</v>
      </c>
      <c r="O27" s="61">
        <v>8.9999999999999993E-3</v>
      </c>
      <c r="P27" s="75">
        <f t="shared" si="6"/>
        <v>8.9999999999999993E-3</v>
      </c>
      <c r="Q27" s="61">
        <v>8.9999999999999993E-3</v>
      </c>
      <c r="R27" s="76">
        <v>8.9999999999999993E-3</v>
      </c>
      <c r="S27" s="76">
        <v>8.9999999999999993E-3</v>
      </c>
      <c r="T27" s="75">
        <f t="shared" si="7"/>
        <v>8.9999999999999993E-3</v>
      </c>
      <c r="U27" s="167" t="s">
        <v>11</v>
      </c>
      <c r="V27" s="168">
        <f>+U26/U22</f>
        <v>8.9245002872030566E-3</v>
      </c>
    </row>
    <row r="28" spans="1:24" ht="30" customHeight="1" thickTop="1" x14ac:dyDescent="0.25">
      <c r="A28" s="104" t="s">
        <v>33</v>
      </c>
      <c r="B28" s="113" t="s">
        <v>34</v>
      </c>
      <c r="C28" s="177" t="s">
        <v>18</v>
      </c>
      <c r="D28" s="97"/>
      <c r="E28" s="178">
        <v>2324</v>
      </c>
      <c r="F28" s="179">
        <v>2330</v>
      </c>
      <c r="G28" s="178">
        <v>2326</v>
      </c>
      <c r="H28" s="180">
        <f t="shared" si="4"/>
        <v>2326.6666666666665</v>
      </c>
      <c r="I28" s="179">
        <v>2328</v>
      </c>
      <c r="J28" s="179">
        <v>2300</v>
      </c>
      <c r="K28" s="179">
        <v>2294</v>
      </c>
      <c r="L28" s="180">
        <f t="shared" si="5"/>
        <v>2307.3333333333335</v>
      </c>
      <c r="M28" s="179">
        <v>2226</v>
      </c>
      <c r="N28" s="179">
        <v>2093</v>
      </c>
      <c r="O28" s="179">
        <v>2094</v>
      </c>
      <c r="P28" s="180">
        <f t="shared" si="6"/>
        <v>2137.6666666666665</v>
      </c>
      <c r="Q28" s="179">
        <v>1933</v>
      </c>
      <c r="R28" s="179">
        <v>1920</v>
      </c>
      <c r="S28" s="179">
        <v>1911</v>
      </c>
      <c r="T28" s="180">
        <f t="shared" si="7"/>
        <v>1921.3333333333333</v>
      </c>
      <c r="U28" s="181" t="s">
        <v>11</v>
      </c>
      <c r="V28" s="182">
        <f>AVERAGE(E28:G28,I28:K28,M28:O28,Q28:S28)</f>
        <v>2173.25</v>
      </c>
    </row>
    <row r="29" spans="1:24" ht="30" customHeight="1" x14ac:dyDescent="0.25">
      <c r="A29" s="110"/>
      <c r="B29" s="11"/>
      <c r="C29" s="119" t="s">
        <v>19</v>
      </c>
      <c r="D29" s="120" t="s">
        <v>16</v>
      </c>
      <c r="E29" s="121">
        <v>26377.599999999999</v>
      </c>
      <c r="F29" s="122">
        <v>25931.599999999999</v>
      </c>
      <c r="G29" s="121">
        <v>28863.9</v>
      </c>
      <c r="H29" s="123">
        <f t="shared" si="4"/>
        <v>27057.7</v>
      </c>
      <c r="I29" s="122">
        <v>31358.799999999999</v>
      </c>
      <c r="J29" s="122">
        <v>30835.200000000001</v>
      </c>
      <c r="K29" s="122">
        <v>30981.200000000001</v>
      </c>
      <c r="L29" s="123">
        <f t="shared" si="5"/>
        <v>31058.399999999998</v>
      </c>
      <c r="M29" s="122">
        <v>34032.800000000003</v>
      </c>
      <c r="N29" s="122">
        <v>31585.8</v>
      </c>
      <c r="O29" s="122">
        <v>33232.6</v>
      </c>
      <c r="P29" s="123">
        <f t="shared" si="6"/>
        <v>32950.400000000001</v>
      </c>
      <c r="Q29" s="122">
        <v>37494.199999999997</v>
      </c>
      <c r="R29" s="122">
        <v>34624.800000000003</v>
      </c>
      <c r="S29" s="122">
        <v>38928.400000000001</v>
      </c>
      <c r="T29" s="123">
        <f t="shared" si="7"/>
        <v>37015.799999999996</v>
      </c>
      <c r="U29" s="169">
        <f>+S29+R29+Q29+O29+N29+M29+K29+J29+I29+G29+F29+E29</f>
        <v>384246.89999999997</v>
      </c>
      <c r="V29" s="170">
        <f>+U29/12</f>
        <v>32020.574999999997</v>
      </c>
    </row>
    <row r="30" spans="1:24" ht="30" customHeight="1" x14ac:dyDescent="0.25">
      <c r="A30" s="110"/>
      <c r="B30" s="11"/>
      <c r="C30" s="2" t="s">
        <v>20</v>
      </c>
      <c r="D30" s="100" t="s">
        <v>16</v>
      </c>
      <c r="E30" s="51">
        <f>E29/E8</f>
        <v>1198.9818181818182</v>
      </c>
      <c r="F30" s="64">
        <f>F29/F8</f>
        <v>1296.58</v>
      </c>
      <c r="G30" s="51">
        <f>G29/G8</f>
        <v>1374.4714285714285</v>
      </c>
      <c r="H30" s="79">
        <f>SUM(E29:G29)/SUM(E8:G8)</f>
        <v>1288.4619047619049</v>
      </c>
      <c r="I30" s="64">
        <f>I29/I8</f>
        <v>1493.2761904761905</v>
      </c>
      <c r="J30" s="64">
        <f>J29/J8</f>
        <v>1541.76</v>
      </c>
      <c r="K30" s="64">
        <f>K29/K8</f>
        <v>1549.06</v>
      </c>
      <c r="L30" s="79">
        <f>SUM(I29:K29)/SUM(I8:K8)</f>
        <v>1527.4622950819671</v>
      </c>
      <c r="M30" s="64">
        <f>M29/M8</f>
        <v>1479.6869565217391</v>
      </c>
      <c r="N30" s="64">
        <f>N29/N8</f>
        <v>1504.0857142857142</v>
      </c>
      <c r="O30" s="64">
        <f>O29/O8</f>
        <v>1582.5047619047618</v>
      </c>
      <c r="P30" s="79">
        <f>SUM(M29:O29)/SUM(M8:O8)</f>
        <v>1520.7876923076924</v>
      </c>
      <c r="Q30" s="64">
        <f>Q29/Q8</f>
        <v>1630.1826086956521</v>
      </c>
      <c r="R30" s="64">
        <f>R29/R8</f>
        <v>1822.3578947368424</v>
      </c>
      <c r="S30" s="64">
        <f>S29/S8</f>
        <v>1946.42</v>
      </c>
      <c r="T30" s="79">
        <f>SUM(Q29:S29)/SUM(Q8:S8)</f>
        <v>1791.0870967741935</v>
      </c>
      <c r="U30" s="171" t="s">
        <v>25</v>
      </c>
      <c r="V30" s="172">
        <f>U29/U8</f>
        <v>1530.8641434262947</v>
      </c>
    </row>
    <row r="31" spans="1:24" ht="30" customHeight="1" x14ac:dyDescent="0.25">
      <c r="A31" s="110"/>
      <c r="B31" s="11"/>
      <c r="C31" s="2" t="s">
        <v>21</v>
      </c>
      <c r="D31" s="100"/>
      <c r="E31" s="52">
        <f>E29/E22</f>
        <v>0.6511653167375574</v>
      </c>
      <c r="F31" s="65">
        <f>F29/F22</f>
        <v>0.67919507384775757</v>
      </c>
      <c r="G31" s="52">
        <f>G29/G22</f>
        <v>0.6883304875373214</v>
      </c>
      <c r="H31" s="80">
        <f t="shared" si="4"/>
        <v>0.67289695937421212</v>
      </c>
      <c r="I31" s="65">
        <v>0.74199999999999999</v>
      </c>
      <c r="J31" s="65">
        <v>0.751</v>
      </c>
      <c r="K31" s="65">
        <v>0.75900000000000001</v>
      </c>
      <c r="L31" s="80">
        <f>AVERAGE(I31:K31)</f>
        <v>0.75066666666666659</v>
      </c>
      <c r="M31" s="65">
        <v>0.75800000000000001</v>
      </c>
      <c r="N31" s="65">
        <v>0.77400000000000002</v>
      </c>
      <c r="O31" s="65">
        <v>0.78300000000000003</v>
      </c>
      <c r="P31" s="80">
        <f>AVERAGE(M31:O31)</f>
        <v>0.77166666666666661</v>
      </c>
      <c r="Q31" s="65">
        <v>0.78500000000000003</v>
      </c>
      <c r="R31" s="81">
        <v>0.8</v>
      </c>
      <c r="S31" s="81">
        <v>0.81599999999999995</v>
      </c>
      <c r="T31" s="80">
        <f>AVERAGE(Q31:S31)</f>
        <v>0.80033333333333323</v>
      </c>
      <c r="U31" s="171" t="s">
        <v>11</v>
      </c>
      <c r="V31" s="173">
        <f>+U29/U22</f>
        <v>0.75098253934408243</v>
      </c>
    </row>
    <row r="32" spans="1:24" ht="30" customHeight="1" x14ac:dyDescent="0.25">
      <c r="A32" s="110"/>
      <c r="B32" s="11"/>
      <c r="C32" s="2" t="s">
        <v>22</v>
      </c>
      <c r="D32" s="100" t="s">
        <v>23</v>
      </c>
      <c r="E32" s="51">
        <v>15</v>
      </c>
      <c r="F32" s="64">
        <v>15.6</v>
      </c>
      <c r="G32" s="51">
        <v>14.2</v>
      </c>
      <c r="H32" s="79">
        <f t="shared" si="4"/>
        <v>14.933333333333332</v>
      </c>
      <c r="I32" s="64">
        <v>11.6</v>
      </c>
      <c r="J32" s="64">
        <v>11.2</v>
      </c>
      <c r="K32" s="64">
        <v>11.1</v>
      </c>
      <c r="L32" s="79">
        <f>SUM(I33:K33)/SUM(I29:K29)</f>
        <v>11.317107985815969</v>
      </c>
      <c r="M32" s="64">
        <v>12.1</v>
      </c>
      <c r="N32" s="64">
        <v>12</v>
      </c>
      <c r="O32" s="64">
        <v>10.8</v>
      </c>
      <c r="P32" s="79">
        <f>SUM(M33:O33)/SUM(M29:O29)</f>
        <v>11.647292091547699</v>
      </c>
      <c r="Q32" s="64">
        <v>11.2</v>
      </c>
      <c r="R32" s="64">
        <v>10.5</v>
      </c>
      <c r="S32" s="64">
        <v>9.6</v>
      </c>
      <c r="T32" s="79">
        <f>SUM(Q33:S33)/SUM(Q29:S29)</f>
        <v>10.419794610229507</v>
      </c>
      <c r="U32" s="162" t="s">
        <v>11</v>
      </c>
      <c r="V32" s="172">
        <f>AVERAGE(E32:G32,I32:K32,M32:O32,Q32:S32)</f>
        <v>12.074999999999998</v>
      </c>
    </row>
    <row r="33" spans="1:22" ht="30" customHeight="1" x14ac:dyDescent="0.25">
      <c r="A33" s="110"/>
      <c r="B33" s="11"/>
      <c r="C33" s="124" t="s">
        <v>26</v>
      </c>
      <c r="D33" s="125" t="s">
        <v>9</v>
      </c>
      <c r="E33" s="126">
        <v>395762.3</v>
      </c>
      <c r="F33" s="127">
        <v>405543.5</v>
      </c>
      <c r="G33" s="126">
        <v>409231.6</v>
      </c>
      <c r="H33" s="128">
        <f>AVERAGE(E33:G33)</f>
        <v>403512.46666666662</v>
      </c>
      <c r="I33" s="127">
        <v>364903.9</v>
      </c>
      <c r="J33" s="127">
        <v>346614.5</v>
      </c>
      <c r="K33" s="127">
        <v>342955.4</v>
      </c>
      <c r="L33" s="128">
        <f>AVERAGE(I33:K33)</f>
        <v>351491.26666666666</v>
      </c>
      <c r="M33" s="127">
        <v>411534.4</v>
      </c>
      <c r="N33" s="127">
        <v>380395.6</v>
      </c>
      <c r="O33" s="127">
        <v>359418.8</v>
      </c>
      <c r="P33" s="128">
        <f>AVERAGE(M33:O33)</f>
        <v>383782.93333333335</v>
      </c>
      <c r="Q33" s="127">
        <v>420259.7</v>
      </c>
      <c r="R33" s="127">
        <v>362236.7</v>
      </c>
      <c r="S33" s="127">
        <v>374594.7</v>
      </c>
      <c r="T33" s="128">
        <f>AVERAGE(Q33:S33)</f>
        <v>385697.03333333338</v>
      </c>
      <c r="U33" s="169">
        <f>+S33+R33+Q33+O33+N33+M33+K33+J33+I33+G33+F33+E33</f>
        <v>4573451.0999999996</v>
      </c>
      <c r="V33" s="176">
        <f>+U33/12</f>
        <v>381120.92499999999</v>
      </c>
    </row>
    <row r="34" spans="1:22" ht="30" customHeight="1" x14ac:dyDescent="0.25">
      <c r="A34" s="110"/>
      <c r="B34" s="11"/>
      <c r="C34" s="2"/>
      <c r="D34" s="100" t="s">
        <v>9</v>
      </c>
      <c r="E34" s="51">
        <f>E33/E8</f>
        <v>17989.195454545454</v>
      </c>
      <c r="F34" s="64">
        <f>F33/F8</f>
        <v>20277.174999999999</v>
      </c>
      <c r="G34" s="51">
        <f>G33/G8</f>
        <v>19487.219047619048</v>
      </c>
      <c r="H34" s="79">
        <f>SUM(E33:G33)/SUM(E8:G8)</f>
        <v>19214.879365079363</v>
      </c>
      <c r="I34" s="64">
        <f>I33/I8</f>
        <v>17376.376190476192</v>
      </c>
      <c r="J34" s="64">
        <f>J33/J8</f>
        <v>17330.724999999999</v>
      </c>
      <c r="K34" s="64">
        <f>K33/K8</f>
        <v>17147.77</v>
      </c>
      <c r="L34" s="79">
        <f>SUM(I33:K33)/SUM(I8:K8)</f>
        <v>17286.45573770492</v>
      </c>
      <c r="M34" s="64">
        <f>M33/M8</f>
        <v>17892.8</v>
      </c>
      <c r="N34" s="64">
        <f>N33/N8</f>
        <v>18114.076190476189</v>
      </c>
      <c r="O34" s="64">
        <f>O33/O8</f>
        <v>17115.180952380953</v>
      </c>
      <c r="P34" s="79">
        <f>SUM(M33:O33)/SUM(M8:O8)</f>
        <v>17713.058461538461</v>
      </c>
      <c r="Q34" s="64">
        <f>Q33/Q8</f>
        <v>18272.160869565218</v>
      </c>
      <c r="R34" s="64">
        <f>R33/R8</f>
        <v>19065.089473684213</v>
      </c>
      <c r="S34" s="64">
        <f>S33/S8</f>
        <v>18729.735000000001</v>
      </c>
      <c r="T34" s="79">
        <f>SUM(Q33:S33)/SUM(Q8:S8)</f>
        <v>18662.759677419355</v>
      </c>
      <c r="U34" s="171" t="s">
        <v>11</v>
      </c>
      <c r="V34" s="172">
        <f>U33/U8</f>
        <v>18220.920717131474</v>
      </c>
    </row>
    <row r="35" spans="1:22" ht="30" customHeight="1" thickBot="1" x14ac:dyDescent="0.3">
      <c r="A35" s="111"/>
      <c r="B35" s="13"/>
      <c r="C35" s="14" t="s">
        <v>10</v>
      </c>
      <c r="D35" s="101"/>
      <c r="E35" s="53">
        <v>0.95199999999999996</v>
      </c>
      <c r="F35" s="66">
        <v>0.96</v>
      </c>
      <c r="G35" s="53">
        <v>0.95799999999999996</v>
      </c>
      <c r="H35" s="83">
        <f t="shared" si="4"/>
        <v>0.95666666666666667</v>
      </c>
      <c r="I35" s="66">
        <v>0.95799999999999996</v>
      </c>
      <c r="J35" s="66">
        <v>0.95499999999999996</v>
      </c>
      <c r="K35" s="66">
        <v>0.96199999999999997</v>
      </c>
      <c r="L35" s="83">
        <f>AVERAGE(I35:K35)</f>
        <v>0.95833333333333337</v>
      </c>
      <c r="M35" s="66">
        <v>0.96399999999999997</v>
      </c>
      <c r="N35" s="66">
        <v>0.96599999999999997</v>
      </c>
      <c r="O35" s="66">
        <v>0.96699999999999997</v>
      </c>
      <c r="P35" s="83">
        <f>AVERAGE(M35:O35)</f>
        <v>0.96566666666666656</v>
      </c>
      <c r="Q35" s="66">
        <v>0.96799999999999997</v>
      </c>
      <c r="R35" s="84">
        <v>0.97099999999999997</v>
      </c>
      <c r="S35" s="84">
        <v>0.96699999999999997</v>
      </c>
      <c r="T35" s="83">
        <f>AVERAGE(Q35:S35)</f>
        <v>0.96866666666666668</v>
      </c>
      <c r="U35" s="174" t="s">
        <v>11</v>
      </c>
      <c r="V35" s="175">
        <f>+U33/U16</f>
        <v>0.96224806020835851</v>
      </c>
    </row>
    <row r="36" spans="1:22" ht="30" customHeight="1" thickTop="1" x14ac:dyDescent="0.25">
      <c r="A36" s="104" t="s">
        <v>39</v>
      </c>
      <c r="B36" s="113" t="s">
        <v>35</v>
      </c>
      <c r="C36" s="177" t="s">
        <v>18</v>
      </c>
      <c r="D36" s="97"/>
      <c r="E36" s="178">
        <v>2327</v>
      </c>
      <c r="F36" s="179">
        <v>2328</v>
      </c>
      <c r="G36" s="178">
        <v>2330</v>
      </c>
      <c r="H36" s="180">
        <f>AVERAGE(E36:G36)</f>
        <v>2328.3333333333335</v>
      </c>
      <c r="I36" s="179">
        <v>2384</v>
      </c>
      <c r="J36" s="179">
        <v>2491</v>
      </c>
      <c r="K36" s="179">
        <v>2508</v>
      </c>
      <c r="L36" s="180">
        <f>AVERAGE(I36:K36)</f>
        <v>2461</v>
      </c>
      <c r="M36" s="179">
        <v>2672</v>
      </c>
      <c r="N36" s="179">
        <v>2813</v>
      </c>
      <c r="O36" s="179">
        <v>2899</v>
      </c>
      <c r="P36" s="180">
        <f>AVERAGE(M36:O36)</f>
        <v>2794.6666666666665</v>
      </c>
      <c r="Q36" s="179">
        <v>2915</v>
      </c>
      <c r="R36" s="179">
        <v>3049</v>
      </c>
      <c r="S36" s="179">
        <v>3016</v>
      </c>
      <c r="T36" s="180">
        <f>AVERAGE(Q36:S36)</f>
        <v>2993.3333333333335</v>
      </c>
      <c r="U36" s="181" t="s">
        <v>11</v>
      </c>
      <c r="V36" s="182">
        <f>AVERAGE(E36:G36,I36:K36,M36:O36,Q36:S36)</f>
        <v>2644.3333333333335</v>
      </c>
    </row>
    <row r="37" spans="1:22" ht="30" customHeight="1" x14ac:dyDescent="0.25">
      <c r="A37" s="105"/>
      <c r="B37" s="11"/>
      <c r="C37" s="119" t="s">
        <v>19</v>
      </c>
      <c r="D37" s="120" t="s">
        <v>16</v>
      </c>
      <c r="E37" s="121">
        <v>14130.7</v>
      </c>
      <c r="F37" s="122">
        <v>12248.4</v>
      </c>
      <c r="G37" s="121">
        <v>13069.3</v>
      </c>
      <c r="H37" s="123">
        <f>AVERAGE(E37:G37)</f>
        <v>13149.466666666665</v>
      </c>
      <c r="I37" s="122">
        <v>10917.8</v>
      </c>
      <c r="J37" s="122">
        <v>10243.5</v>
      </c>
      <c r="K37" s="122">
        <v>9812.2999999999993</v>
      </c>
      <c r="L37" s="123">
        <f>AVERAGE(I37:K37)</f>
        <v>10324.533333333333</v>
      </c>
      <c r="M37" s="122">
        <v>10880.6</v>
      </c>
      <c r="N37" s="122">
        <v>9237.7000000000007</v>
      </c>
      <c r="O37" s="122">
        <v>9204.2000000000007</v>
      </c>
      <c r="P37" s="123">
        <f>AVERAGE(M37:O37)</f>
        <v>9774.1666666666679</v>
      </c>
      <c r="Q37" s="122">
        <v>10260.299999999999</v>
      </c>
      <c r="R37" s="122">
        <v>8656</v>
      </c>
      <c r="S37" s="122">
        <v>8751.4</v>
      </c>
      <c r="T37" s="123">
        <f>AVERAGE(Q37:S37)</f>
        <v>9222.5666666666657</v>
      </c>
      <c r="U37" s="169">
        <f>+S37+R37+Q37+O37+N37+M37+K37+J37+I37+G37+F37+E37</f>
        <v>127412.2</v>
      </c>
      <c r="V37" s="170">
        <f>+U37/12</f>
        <v>10617.683333333332</v>
      </c>
    </row>
    <row r="38" spans="1:22" ht="30" customHeight="1" x14ac:dyDescent="0.25">
      <c r="A38" s="105"/>
      <c r="B38" s="11"/>
      <c r="C38" s="1" t="s">
        <v>20</v>
      </c>
      <c r="D38" s="100" t="s">
        <v>16</v>
      </c>
      <c r="E38" s="51">
        <f>E37/E24</f>
        <v>0.3520573030208658</v>
      </c>
      <c r="F38" s="64">
        <f>F37/F24</f>
        <v>0.32366868908948693</v>
      </c>
      <c r="G38" s="51">
        <f>G37/G24</f>
        <v>0.31446369879164399</v>
      </c>
      <c r="H38" s="79">
        <f>SUM(E37:G37)/SUM(E24:G24)</f>
        <v>0.33000029278779991</v>
      </c>
      <c r="I38" s="64">
        <f>I37/I24</f>
        <v>0.2604051881639643</v>
      </c>
      <c r="J38" s="64">
        <f>J37/J24</f>
        <v>0.25162307754662894</v>
      </c>
      <c r="K38" s="64">
        <f>K37/K24</f>
        <v>0.24252333214695299</v>
      </c>
      <c r="L38" s="79">
        <f>SUM(I37:K37)/SUM(I24:K24)</f>
        <v>0.25162333837821327</v>
      </c>
      <c r="M38" s="64">
        <f>M37/M24</f>
        <v>0.24448369150016627</v>
      </c>
      <c r="N38" s="64">
        <f>N37/N24</f>
        <v>0.22842299437207603</v>
      </c>
      <c r="O38" s="64">
        <f>O37/O24</f>
        <v>0.21892244167903493</v>
      </c>
      <c r="P38" s="79">
        <f>SUM(M37:O37)/SUM(M24:O24)</f>
        <v>0.23090619015220243</v>
      </c>
      <c r="Q38" s="64">
        <f>Q37/Q24</f>
        <v>0.21678354183525356</v>
      </c>
      <c r="R38" s="64">
        <f>R37/R24</f>
        <v>0.20179272884102062</v>
      </c>
      <c r="S38" s="64">
        <f>S37/S24</f>
        <v>0.18524225811231293</v>
      </c>
      <c r="T38" s="79">
        <f>SUM(Q37:S37)/SUM(Q24:S24)</f>
        <v>0.20126618374285832</v>
      </c>
      <c r="U38" s="171" t="s">
        <v>11</v>
      </c>
      <c r="V38" s="172">
        <f>U37/U24</f>
        <v>0.25126022347792093</v>
      </c>
    </row>
    <row r="39" spans="1:22" ht="30" customHeight="1" x14ac:dyDescent="0.25">
      <c r="A39" s="105"/>
      <c r="B39" s="11"/>
      <c r="C39" s="1" t="s">
        <v>21</v>
      </c>
      <c r="D39" s="100"/>
      <c r="E39" s="52">
        <f>E37/E29</f>
        <v>0.53570832827853943</v>
      </c>
      <c r="F39" s="65">
        <f>F37/F29</f>
        <v>0.47233491184500764</v>
      </c>
      <c r="G39" s="52">
        <f>G37/G29</f>
        <v>0.45279050994494846</v>
      </c>
      <c r="H39" s="80">
        <f>AVERAGE(E39:G39)</f>
        <v>0.48694458335616519</v>
      </c>
      <c r="I39" s="65">
        <v>0.25800000000000001</v>
      </c>
      <c r="J39" s="65">
        <v>0.249</v>
      </c>
      <c r="K39" s="65">
        <v>0.24099999999999999</v>
      </c>
      <c r="L39" s="80">
        <f>AVERAGE(I39:K39)</f>
        <v>0.24933333333333332</v>
      </c>
      <c r="M39" s="65">
        <v>0.27500000000000002</v>
      </c>
      <c r="N39" s="65">
        <v>0.22600000000000001</v>
      </c>
      <c r="O39" s="65">
        <v>0.217</v>
      </c>
      <c r="P39" s="80">
        <f>AVERAGE(M39:O39)</f>
        <v>0.23933333333333331</v>
      </c>
      <c r="Q39" s="65">
        <v>0.215</v>
      </c>
      <c r="R39" s="81">
        <v>0.2</v>
      </c>
      <c r="S39" s="81">
        <v>0.184</v>
      </c>
      <c r="T39" s="80">
        <f>AVERAGE(Q39:S39)</f>
        <v>0.19966666666666666</v>
      </c>
      <c r="U39" s="171" t="s">
        <v>11</v>
      </c>
      <c r="V39" s="173" t="e">
        <f>+U37/U30</f>
        <v>#VALUE!</v>
      </c>
    </row>
    <row r="40" spans="1:22" ht="30" customHeight="1" x14ac:dyDescent="0.25">
      <c r="A40" s="105"/>
      <c r="B40" s="11"/>
      <c r="C40" s="12" t="s">
        <v>22</v>
      </c>
      <c r="D40" s="98" t="s">
        <v>23</v>
      </c>
      <c r="E40" s="49">
        <f>E41/E37</f>
        <v>1.412315030394814</v>
      </c>
      <c r="F40" s="62">
        <f>F41/F37</f>
        <v>1.3884180790960454</v>
      </c>
      <c r="G40" s="49">
        <f>G41/G37</f>
        <v>1.3771586848568784</v>
      </c>
      <c r="H40" s="77">
        <f>AVERAGE(E40:G40)</f>
        <v>1.3926305981159126</v>
      </c>
      <c r="I40" s="62">
        <v>1.5</v>
      </c>
      <c r="J40" s="62">
        <v>1.6</v>
      </c>
      <c r="K40" s="62">
        <v>1.4</v>
      </c>
      <c r="L40" s="77">
        <f>SUM(I41:K41)/SUM(I37:K37)</f>
        <v>1.4880930857246173</v>
      </c>
      <c r="M40" s="62">
        <v>1.4</v>
      </c>
      <c r="N40" s="62">
        <v>1.4</v>
      </c>
      <c r="O40" s="62">
        <v>1.4</v>
      </c>
      <c r="P40" s="77">
        <f>SUM(M41:O41)/SUM(M37:O37)</f>
        <v>1.3981072555205045</v>
      </c>
      <c r="Q40" s="82">
        <v>1.3</v>
      </c>
      <c r="R40" s="62">
        <v>1.3</v>
      </c>
      <c r="S40" s="62">
        <v>1.5</v>
      </c>
      <c r="T40" s="85">
        <f>SUM(Q41:S41)/SUM(Q37:S37)</f>
        <v>1.351080863244867</v>
      </c>
      <c r="U40" s="159" t="s">
        <v>11</v>
      </c>
      <c r="V40" s="160">
        <f>AVERAGE(E40:G40,I40:K40,M40:O40,Q40:S40)</f>
        <v>1.4148243161956451</v>
      </c>
    </row>
    <row r="41" spans="1:22" ht="30" customHeight="1" x14ac:dyDescent="0.25">
      <c r="A41" s="105"/>
      <c r="B41" s="11"/>
      <c r="C41" s="119" t="s">
        <v>8</v>
      </c>
      <c r="D41" s="120" t="s">
        <v>9</v>
      </c>
      <c r="E41" s="121">
        <v>19957</v>
      </c>
      <c r="F41" s="122">
        <v>17005.900000000001</v>
      </c>
      <c r="G41" s="121">
        <v>17998.5</v>
      </c>
      <c r="H41" s="123">
        <f>AVERAGE(E41:G41)</f>
        <v>18320.466666666667</v>
      </c>
      <c r="I41" s="122">
        <v>16161.2</v>
      </c>
      <c r="J41" s="122">
        <v>16280.2</v>
      </c>
      <c r="K41" s="122">
        <v>13650.2</v>
      </c>
      <c r="L41" s="123">
        <f>AVERAGE(I41:K41)</f>
        <v>15363.866666666669</v>
      </c>
      <c r="M41" s="122">
        <v>15239.8</v>
      </c>
      <c r="N41" s="122">
        <v>13315.7</v>
      </c>
      <c r="O41" s="122">
        <v>12440.5</v>
      </c>
      <c r="P41" s="123">
        <f>AVERAGE(M41:O41)</f>
        <v>13665.333333333334</v>
      </c>
      <c r="Q41" s="122">
        <v>13713</v>
      </c>
      <c r="R41" s="122">
        <v>10947.3</v>
      </c>
      <c r="S41" s="122">
        <v>12721</v>
      </c>
      <c r="T41" s="123">
        <f>AVERAGE(Q41:S41)</f>
        <v>12460.433333333334</v>
      </c>
      <c r="U41" s="169">
        <f>+S41+R41+Q41+O41+N41+M41+K41+J41+I41+G41+F41+E41</f>
        <v>179430.3</v>
      </c>
      <c r="V41" s="170">
        <f>+U41/12</f>
        <v>14952.525</v>
      </c>
    </row>
    <row r="42" spans="1:22" ht="30" customHeight="1" x14ac:dyDescent="0.25">
      <c r="A42" s="105"/>
      <c r="B42" s="11"/>
      <c r="C42" s="1" t="s">
        <v>20</v>
      </c>
      <c r="D42" s="100" t="s">
        <v>9</v>
      </c>
      <c r="E42" s="51">
        <f>E41/E24</f>
        <v>0.49721582061663033</v>
      </c>
      <c r="F42" s="64">
        <f>F41/F24</f>
        <v>0.44938745956916054</v>
      </c>
      <c r="G42" s="51">
        <f>G41/G24</f>
        <v>0.43306641386313</v>
      </c>
      <c r="H42" s="79">
        <f>SUM(E41:G41)/SUM(E24:G24)</f>
        <v>0.45977221109163841</v>
      </c>
      <c r="I42" s="64">
        <f>I41/I24</f>
        <v>0.38546779817870452</v>
      </c>
      <c r="J42" s="64">
        <f>J41/J24</f>
        <v>0.39990960385362706</v>
      </c>
      <c r="K42" s="64">
        <f>K41/K24</f>
        <v>0.33738185628979322</v>
      </c>
      <c r="L42" s="79">
        <f>SUM(I41:K41)/SUM(I24:K24)</f>
        <v>0.37443895004756494</v>
      </c>
      <c r="M42" s="64">
        <f>M41/M24</f>
        <v>0.3424335571314297</v>
      </c>
      <c r="N42" s="64">
        <f>N41/N24</f>
        <v>0.32926075388465231</v>
      </c>
      <c r="O42" s="64">
        <f>O41/O24</f>
        <v>0.29589802869429543</v>
      </c>
      <c r="P42" s="79">
        <f>SUM(M41:O41)/SUM(M24:O24)</f>
        <v>0.32283161979639147</v>
      </c>
      <c r="Q42" s="64">
        <f>Q41/Q24</f>
        <v>0.28973350771291601</v>
      </c>
      <c r="R42" s="64">
        <f>R41/R24</f>
        <v>0.25520858831345944</v>
      </c>
      <c r="S42" s="64">
        <f>S41/S24</f>
        <v>0.26926740469487542</v>
      </c>
      <c r="T42" s="79">
        <f>SUM(Q41:S41)/SUM(Q24:S24)</f>
        <v>0.271926889273301</v>
      </c>
      <c r="U42" s="171" t="s">
        <v>11</v>
      </c>
      <c r="V42" s="172">
        <f>U41/U24</f>
        <v>0.35384129052563568</v>
      </c>
    </row>
    <row r="43" spans="1:22" ht="30" customHeight="1" thickBot="1" x14ac:dyDescent="0.3">
      <c r="A43" s="106"/>
      <c r="B43" s="13"/>
      <c r="C43" s="14" t="s">
        <v>10</v>
      </c>
      <c r="D43" s="101"/>
      <c r="E43" s="53">
        <v>4.8000000000000001E-2</v>
      </c>
      <c r="F43" s="66">
        <v>0.04</v>
      </c>
      <c r="G43" s="53">
        <v>4.2000000000000003E-2</v>
      </c>
      <c r="H43" s="83">
        <f>AVERAGE(E43:G43)</f>
        <v>4.3333333333333335E-2</v>
      </c>
      <c r="I43" s="66">
        <v>4.2000000000000003E-2</v>
      </c>
      <c r="J43" s="66">
        <v>4.4999999999999998E-2</v>
      </c>
      <c r="K43" s="66">
        <v>3.7999999999999999E-2</v>
      </c>
      <c r="L43" s="83">
        <f>AVERAGE(I43:K43)</f>
        <v>4.1666666666666664E-2</v>
      </c>
      <c r="M43" s="66">
        <v>3.5999999999999997E-2</v>
      </c>
      <c r="N43" s="66">
        <v>3.4000000000000002E-2</v>
      </c>
      <c r="O43" s="66">
        <v>3.3000000000000002E-2</v>
      </c>
      <c r="P43" s="83">
        <f>AVERAGE(M43:O43)</f>
        <v>3.4333333333333334E-2</v>
      </c>
      <c r="Q43" s="66">
        <v>3.2000000000000001E-2</v>
      </c>
      <c r="R43" s="84">
        <v>2.9000000000000001E-2</v>
      </c>
      <c r="S43" s="84">
        <v>3.3000000000000002E-2</v>
      </c>
      <c r="T43" s="83">
        <f>AVERAGE(Q43:S43)</f>
        <v>3.1333333333333331E-2</v>
      </c>
      <c r="U43" s="174" t="s">
        <v>11</v>
      </c>
      <c r="V43" s="175" t="e">
        <f>+U41/#REF!</f>
        <v>#REF!</v>
      </c>
    </row>
    <row r="44" spans="1:22" ht="12" thickTop="1" x14ac:dyDescent="0.25"/>
  </sheetData>
  <mergeCells count="5">
    <mergeCell ref="B6:C7"/>
    <mergeCell ref="B9:C9"/>
    <mergeCell ref="B12:B13"/>
    <mergeCell ref="B14:B15"/>
    <mergeCell ref="B8:C8"/>
  </mergeCells>
  <phoneticPr fontId="16" type="noConversion"/>
  <printOptions horizontalCentered="1"/>
  <pageMargins left="0" right="0" top="0" bottom="0.39370078740157483" header="0" footer="0"/>
  <pageSetup paperSize="9" scale="43" orientation="landscape" r:id="rId1"/>
  <headerFooter alignWithMargins="0">
    <oddFooter>&amp;LOpr. WSS - na podstawie danych KIR S.A.&amp;Rwww nbp.pl/system płatniczy</oddFooter>
  </headerFooter>
  <colBreaks count="1" manualBreakCount="1">
    <brk id="22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X44"/>
  <sheetViews>
    <sheetView topLeftCell="A20" zoomScale="75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39" style="3" customWidth="1"/>
    <col min="4" max="4" width="8.69921875" style="3" customWidth="1"/>
    <col min="5" max="7" width="14.59765625" style="3" customWidth="1"/>
    <col min="8" max="8" width="15.69921875" style="3" customWidth="1"/>
    <col min="9" max="11" width="14.296875" style="3" customWidth="1"/>
    <col min="12" max="12" width="15.59765625" style="3" customWidth="1"/>
    <col min="13" max="15" width="14.296875" style="3" customWidth="1"/>
    <col min="16" max="16" width="15.296875" style="3" customWidth="1"/>
    <col min="17" max="19" width="13.3984375" style="3" customWidth="1"/>
    <col min="20" max="21" width="17.59765625" style="3" customWidth="1"/>
    <col min="22" max="22" width="19.296875" style="3" customWidth="1"/>
    <col min="23" max="23" width="8.8984375" style="3" customWidth="1"/>
    <col min="24" max="16384" width="9.09765625" style="3"/>
  </cols>
  <sheetData>
    <row r="1" spans="1:22" ht="17.5" x14ac:dyDescent="0.35">
      <c r="A1" s="18" t="s">
        <v>41</v>
      </c>
      <c r="B1" s="18"/>
      <c r="C1" s="18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8"/>
    </row>
    <row r="2" spans="1:22" ht="17.5" x14ac:dyDescent="0.35">
      <c r="A2" s="18" t="s">
        <v>0</v>
      </c>
      <c r="B2" s="18"/>
      <c r="C2" s="18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</row>
    <row r="3" spans="1:22" ht="39" customHeight="1" x14ac:dyDescent="0.4">
      <c r="A3" s="4" t="s">
        <v>42</v>
      </c>
      <c r="B3" s="4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134" customFormat="1" ht="18.75" customHeight="1" x14ac:dyDescent="0.25">
      <c r="A4" s="131" t="s">
        <v>44</v>
      </c>
      <c r="B4" s="1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2" ht="42" customHeight="1" thickBot="1" x14ac:dyDescent="0.45">
      <c r="A5" s="7" t="s">
        <v>43</v>
      </c>
      <c r="B5" s="4"/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42" customHeight="1" thickTop="1" thickBot="1" x14ac:dyDescent="0.45">
      <c r="A6" s="112" t="s">
        <v>1</v>
      </c>
      <c r="B6" s="993" t="s">
        <v>2</v>
      </c>
      <c r="C6" s="993"/>
      <c r="D6" s="88" t="s">
        <v>3</v>
      </c>
      <c r="E6" s="142" t="s">
        <v>71</v>
      </c>
      <c r="F6" s="143" t="s">
        <v>72</v>
      </c>
      <c r="G6" s="142" t="s">
        <v>73</v>
      </c>
      <c r="H6" s="144" t="s">
        <v>54</v>
      </c>
      <c r="I6" s="143" t="s">
        <v>74</v>
      </c>
      <c r="J6" s="143" t="s">
        <v>75</v>
      </c>
      <c r="K6" s="143" t="s">
        <v>76</v>
      </c>
      <c r="L6" s="144" t="s">
        <v>55</v>
      </c>
      <c r="M6" s="143" t="s">
        <v>77</v>
      </c>
      <c r="N6" s="143" t="s">
        <v>78</v>
      </c>
      <c r="O6" s="143" t="s">
        <v>79</v>
      </c>
      <c r="P6" s="144" t="s">
        <v>56</v>
      </c>
      <c r="Q6" s="143" t="s">
        <v>80</v>
      </c>
      <c r="R6" s="143" t="s">
        <v>81</v>
      </c>
      <c r="S6" s="143" t="s">
        <v>82</v>
      </c>
      <c r="T6" s="144" t="s">
        <v>57</v>
      </c>
      <c r="U6" s="34" t="s">
        <v>46</v>
      </c>
      <c r="V6" s="145" t="s">
        <v>58</v>
      </c>
    </row>
    <row r="7" spans="1:22" ht="44.25" customHeight="1" thickTop="1" thickBot="1" x14ac:dyDescent="0.4">
      <c r="A7" s="102"/>
      <c r="B7" s="993"/>
      <c r="C7" s="993"/>
      <c r="D7" s="89" t="s">
        <v>4</v>
      </c>
      <c r="E7" s="16"/>
      <c r="F7" s="54"/>
      <c r="G7" s="16"/>
      <c r="H7" s="136" t="s">
        <v>45</v>
      </c>
      <c r="I7" s="137"/>
      <c r="J7" s="137"/>
      <c r="K7" s="137"/>
      <c r="L7" s="136" t="s">
        <v>45</v>
      </c>
      <c r="M7" s="137"/>
      <c r="N7" s="137"/>
      <c r="O7" s="137"/>
      <c r="P7" s="136" t="s">
        <v>45</v>
      </c>
      <c r="Q7" s="137"/>
      <c r="R7" s="137"/>
      <c r="S7" s="137"/>
      <c r="T7" s="136" t="s">
        <v>45</v>
      </c>
      <c r="U7" s="35" t="s">
        <v>53</v>
      </c>
      <c r="V7" s="19" t="s">
        <v>53</v>
      </c>
    </row>
    <row r="8" spans="1:22" ht="30" customHeight="1" thickTop="1" thickBot="1" x14ac:dyDescent="0.3">
      <c r="A8" s="103" t="s">
        <v>5</v>
      </c>
      <c r="B8" s="994" t="s">
        <v>6</v>
      </c>
      <c r="C8" s="994"/>
      <c r="D8" s="90"/>
      <c r="E8" s="41">
        <v>22</v>
      </c>
      <c r="F8" s="55">
        <v>20</v>
      </c>
      <c r="G8" s="41">
        <v>22</v>
      </c>
      <c r="H8" s="67">
        <f t="shared" ref="H8:H15" si="0">AVERAGE(E8:G8)</f>
        <v>21.333333333333332</v>
      </c>
      <c r="I8" s="55">
        <v>20</v>
      </c>
      <c r="J8" s="55">
        <v>21</v>
      </c>
      <c r="K8" s="55">
        <v>20</v>
      </c>
      <c r="L8" s="67">
        <f t="shared" ref="L8:L16" si="1">AVERAGE(I8:K8)</f>
        <v>20.333333333333332</v>
      </c>
      <c r="M8" s="55">
        <v>22</v>
      </c>
      <c r="N8" s="55">
        <v>22</v>
      </c>
      <c r="O8" s="55">
        <v>20</v>
      </c>
      <c r="P8" s="67">
        <f t="shared" ref="P8:P16" si="2">AVERAGE(M8:O8)</f>
        <v>21.333333333333332</v>
      </c>
      <c r="Q8" s="55">
        <v>23</v>
      </c>
      <c r="R8" s="55">
        <v>21</v>
      </c>
      <c r="S8" s="55">
        <v>19</v>
      </c>
      <c r="T8" s="67">
        <f t="shared" ref="T8:T16" si="3">AVERAGE(Q8:S8)</f>
        <v>21</v>
      </c>
      <c r="U8" s="39">
        <f>SUM(E8:G8,I8:K8,M8:O8,Q8:S8)</f>
        <v>252</v>
      </c>
      <c r="V8" s="40">
        <f>AVERAGE(E8:G8,I8:K8,M8:O8,Q8:S8)</f>
        <v>21</v>
      </c>
    </row>
    <row r="9" spans="1:22" ht="30" customHeight="1" thickTop="1" thickBot="1" x14ac:dyDescent="0.3">
      <c r="A9" s="103" t="s">
        <v>7</v>
      </c>
      <c r="B9" s="994" t="s">
        <v>40</v>
      </c>
      <c r="C9" s="994"/>
      <c r="D9" s="90"/>
      <c r="E9" s="41">
        <v>64</v>
      </c>
      <c r="F9" s="55">
        <v>64</v>
      </c>
      <c r="G9" s="41">
        <v>63</v>
      </c>
      <c r="H9" s="67">
        <f t="shared" si="0"/>
        <v>63.666666666666664</v>
      </c>
      <c r="I9" s="55">
        <v>62</v>
      </c>
      <c r="J9" s="55">
        <v>62</v>
      </c>
      <c r="K9" s="55">
        <v>62</v>
      </c>
      <c r="L9" s="67">
        <f t="shared" si="1"/>
        <v>62</v>
      </c>
      <c r="M9" s="55">
        <v>63</v>
      </c>
      <c r="N9" s="55">
        <v>63</v>
      </c>
      <c r="O9" s="55">
        <v>63</v>
      </c>
      <c r="P9" s="67">
        <f t="shared" si="2"/>
        <v>63</v>
      </c>
      <c r="Q9" s="55">
        <v>63</v>
      </c>
      <c r="R9" s="55">
        <v>63</v>
      </c>
      <c r="S9" s="55">
        <v>62</v>
      </c>
      <c r="T9" s="67">
        <f t="shared" si="3"/>
        <v>62.666666666666664</v>
      </c>
      <c r="U9" s="36" t="s">
        <v>11</v>
      </c>
      <c r="V9" s="40">
        <f>AVERAGE(E9:G9,I9:K9,M9:O9,Q9:S9)</f>
        <v>62.833333333333336</v>
      </c>
    </row>
    <row r="10" spans="1:22" ht="30" customHeight="1" thickTop="1" x14ac:dyDescent="0.35">
      <c r="A10" s="104" t="s">
        <v>12</v>
      </c>
      <c r="B10" s="129" t="s">
        <v>27</v>
      </c>
      <c r="C10" s="30" t="s">
        <v>8</v>
      </c>
      <c r="D10" s="91" t="s">
        <v>9</v>
      </c>
      <c r="E10" s="42">
        <v>96775.4</v>
      </c>
      <c r="F10" s="56">
        <v>84650.4</v>
      </c>
      <c r="G10" s="42">
        <v>92736.1</v>
      </c>
      <c r="H10" s="68">
        <f>AVERAGE(E10:G10)</f>
        <v>91387.3</v>
      </c>
      <c r="I10" s="56">
        <v>90608.5</v>
      </c>
      <c r="J10" s="56">
        <v>95118.2</v>
      </c>
      <c r="K10" s="56">
        <v>88152.3</v>
      </c>
      <c r="L10" s="68">
        <f t="shared" si="1"/>
        <v>91293</v>
      </c>
      <c r="M10" s="56">
        <v>98428.3</v>
      </c>
      <c r="N10" s="56">
        <v>96116.9</v>
      </c>
      <c r="O10" s="56">
        <v>85163.4</v>
      </c>
      <c r="P10" s="68">
        <f t="shared" si="2"/>
        <v>93236.2</v>
      </c>
      <c r="Q10" s="56">
        <v>99713.600000000006</v>
      </c>
      <c r="R10" s="56">
        <v>89879.1</v>
      </c>
      <c r="S10" s="56">
        <v>93631.5</v>
      </c>
      <c r="T10" s="68">
        <f t="shared" si="3"/>
        <v>94408.066666666666</v>
      </c>
      <c r="U10" s="146">
        <f>+S10+R10+Q10+O10+N10+M10+K10+J10+I10+G10+F10+E10</f>
        <v>1110973.7</v>
      </c>
      <c r="V10" s="147">
        <f>+U10/12</f>
        <v>92581.141666666663</v>
      </c>
    </row>
    <row r="11" spans="1:22" ht="30" customHeight="1" x14ac:dyDescent="0.25">
      <c r="A11" s="105"/>
      <c r="B11" s="130" t="s">
        <v>28</v>
      </c>
      <c r="C11" s="21" t="s">
        <v>10</v>
      </c>
      <c r="D11" s="92"/>
      <c r="E11" s="43">
        <v>0.25</v>
      </c>
      <c r="F11" s="57">
        <v>0.23499999999999999</v>
      </c>
      <c r="G11" s="44">
        <v>0.24299999999999999</v>
      </c>
      <c r="H11" s="69">
        <f>AVERAGE(E11:G11)</f>
        <v>0.24266666666666667</v>
      </c>
      <c r="I11" s="57">
        <v>0.251</v>
      </c>
      <c r="J11" s="57">
        <v>0.26500000000000001</v>
      </c>
      <c r="K11" s="57">
        <v>0.24199999999999999</v>
      </c>
      <c r="L11" s="69">
        <f t="shared" si="1"/>
        <v>0.25266666666666665</v>
      </c>
      <c r="M11" s="57">
        <v>0.253</v>
      </c>
      <c r="N11" s="57">
        <v>0.24</v>
      </c>
      <c r="O11" s="57">
        <v>0.254</v>
      </c>
      <c r="P11" s="69">
        <f t="shared" si="2"/>
        <v>0.249</v>
      </c>
      <c r="Q11" s="57">
        <v>0.22600000000000001</v>
      </c>
      <c r="R11" s="70">
        <v>0.23699999999999999</v>
      </c>
      <c r="S11" s="70">
        <v>0.23400000000000001</v>
      </c>
      <c r="T11" s="69">
        <f t="shared" si="3"/>
        <v>0.23233333333333331</v>
      </c>
      <c r="U11" s="148" t="s">
        <v>11</v>
      </c>
      <c r="V11" s="149">
        <f>U10/U16</f>
        <v>0.24358094210919601</v>
      </c>
    </row>
    <row r="12" spans="1:22" ht="30" customHeight="1" x14ac:dyDescent="0.35">
      <c r="A12" s="105"/>
      <c r="B12" s="991" t="s">
        <v>29</v>
      </c>
      <c r="C12" s="24" t="s">
        <v>8</v>
      </c>
      <c r="D12" s="93" t="s">
        <v>9</v>
      </c>
      <c r="E12" s="45">
        <v>263718.09999999998</v>
      </c>
      <c r="F12" s="58">
        <v>250754.9</v>
      </c>
      <c r="G12" s="45">
        <v>259230.9</v>
      </c>
      <c r="H12" s="71">
        <f t="shared" si="0"/>
        <v>257901.30000000002</v>
      </c>
      <c r="I12" s="58">
        <v>240910.4</v>
      </c>
      <c r="J12" s="58">
        <v>235625.9</v>
      </c>
      <c r="K12" s="58">
        <v>248072.4</v>
      </c>
      <c r="L12" s="71">
        <f t="shared" si="1"/>
        <v>241536.23333333331</v>
      </c>
      <c r="M12" s="58">
        <v>260428.6</v>
      </c>
      <c r="N12" s="58">
        <v>275687.7</v>
      </c>
      <c r="O12" s="58">
        <v>218150.3</v>
      </c>
      <c r="P12" s="71">
        <f t="shared" si="2"/>
        <v>251422.20000000004</v>
      </c>
      <c r="Q12" s="58">
        <v>309055.5</v>
      </c>
      <c r="R12" s="58">
        <v>256867.3</v>
      </c>
      <c r="S12" s="58">
        <v>269585.09999999998</v>
      </c>
      <c r="T12" s="71">
        <f t="shared" si="3"/>
        <v>278502.63333333336</v>
      </c>
      <c r="U12" s="150">
        <f>+S12+R12+Q12+O12+N12+M12+K12+J12+I12+G12+F12+E12</f>
        <v>3088087.0999999996</v>
      </c>
      <c r="V12" s="151">
        <f>+U12/12</f>
        <v>257340.59166666665</v>
      </c>
    </row>
    <row r="13" spans="1:22" ht="30" customHeight="1" x14ac:dyDescent="0.25">
      <c r="A13" s="105"/>
      <c r="B13" s="991"/>
      <c r="C13" s="22" t="s">
        <v>10</v>
      </c>
      <c r="D13" s="94"/>
      <c r="E13" s="46">
        <v>0.68</v>
      </c>
      <c r="F13" s="59">
        <v>0.69499999999999995</v>
      </c>
      <c r="G13" s="46">
        <v>0.68100000000000005</v>
      </c>
      <c r="H13" s="72">
        <f t="shared" si="0"/>
        <v>0.68533333333333335</v>
      </c>
      <c r="I13" s="59">
        <v>0.66800000000000004</v>
      </c>
      <c r="J13" s="59">
        <v>0.65600000000000003</v>
      </c>
      <c r="K13" s="59">
        <v>0.68200000000000005</v>
      </c>
      <c r="L13" s="72">
        <f t="shared" si="1"/>
        <v>0.66866666666666674</v>
      </c>
      <c r="M13" s="59">
        <v>0.66900000000000004</v>
      </c>
      <c r="N13" s="59">
        <v>0.68899999999999995</v>
      </c>
      <c r="O13" s="59">
        <v>0.64900000000000002</v>
      </c>
      <c r="P13" s="72">
        <f t="shared" si="2"/>
        <v>0.66900000000000004</v>
      </c>
      <c r="Q13" s="59">
        <v>0.7</v>
      </c>
      <c r="R13" s="73">
        <v>0.67600000000000005</v>
      </c>
      <c r="S13" s="73">
        <v>0.67200000000000004</v>
      </c>
      <c r="T13" s="72">
        <f t="shared" si="3"/>
        <v>0.68266666666666664</v>
      </c>
      <c r="U13" s="152" t="s">
        <v>11</v>
      </c>
      <c r="V13" s="153">
        <f>U12/U16</f>
        <v>0.67706298099878959</v>
      </c>
    </row>
    <row r="14" spans="1:22" ht="30" customHeight="1" x14ac:dyDescent="0.35">
      <c r="A14" s="105"/>
      <c r="B14" s="991" t="s">
        <v>30</v>
      </c>
      <c r="C14" s="23" t="s">
        <v>8</v>
      </c>
      <c r="D14" s="95" t="s">
        <v>9</v>
      </c>
      <c r="E14" s="47">
        <v>27231.200000000001</v>
      </c>
      <c r="F14" s="60">
        <v>25144.5</v>
      </c>
      <c r="G14" s="47">
        <v>28913.4</v>
      </c>
      <c r="H14" s="74">
        <f t="shared" si="0"/>
        <v>27096.366666666669</v>
      </c>
      <c r="I14" s="60">
        <v>29122.3</v>
      </c>
      <c r="J14" s="60">
        <v>28637.8</v>
      </c>
      <c r="K14" s="60">
        <v>27570.400000000001</v>
      </c>
      <c r="L14" s="74">
        <f t="shared" si="1"/>
        <v>28443.5</v>
      </c>
      <c r="M14" s="60">
        <v>30291.599999999999</v>
      </c>
      <c r="N14" s="60">
        <v>28335.8</v>
      </c>
      <c r="O14" s="60">
        <v>32632.6</v>
      </c>
      <c r="P14" s="74">
        <f t="shared" si="2"/>
        <v>30420</v>
      </c>
      <c r="Q14" s="60">
        <v>33014.699999999997</v>
      </c>
      <c r="R14" s="60">
        <v>33185.1</v>
      </c>
      <c r="S14" s="60">
        <v>37745.5</v>
      </c>
      <c r="T14" s="74">
        <f t="shared" si="3"/>
        <v>34648.433333333327</v>
      </c>
      <c r="U14" s="150">
        <f>+S14+R14+Q14+O14+N14+M14+K14+J14+I14+G14+F14+E14</f>
        <v>361824.9</v>
      </c>
      <c r="V14" s="154">
        <f>+U14/12</f>
        <v>30152.075000000001</v>
      </c>
    </row>
    <row r="15" spans="1:22" ht="30" customHeight="1" thickBot="1" x14ac:dyDescent="0.3">
      <c r="A15" s="106"/>
      <c r="B15" s="992"/>
      <c r="C15" s="31" t="s">
        <v>10</v>
      </c>
      <c r="D15" s="96"/>
      <c r="E15" s="48">
        <v>7.0000000000000007E-2</v>
      </c>
      <c r="F15" s="61">
        <v>7.0000000000000007E-2</v>
      </c>
      <c r="G15" s="48">
        <v>7.5999999999999998E-2</v>
      </c>
      <c r="H15" s="75">
        <f t="shared" si="0"/>
        <v>7.2000000000000008E-2</v>
      </c>
      <c r="I15" s="61">
        <v>8.1000000000000003E-2</v>
      </c>
      <c r="J15" s="61">
        <v>0.08</v>
      </c>
      <c r="K15" s="61">
        <v>7.5999999999999998E-2</v>
      </c>
      <c r="L15" s="75">
        <f t="shared" si="1"/>
        <v>7.9000000000000001E-2</v>
      </c>
      <c r="M15" s="61">
        <v>7.8E-2</v>
      </c>
      <c r="N15" s="61">
        <v>7.0999999999999994E-2</v>
      </c>
      <c r="O15" s="61">
        <v>9.7000000000000003E-2</v>
      </c>
      <c r="P15" s="75">
        <f t="shared" si="2"/>
        <v>8.2000000000000003E-2</v>
      </c>
      <c r="Q15" s="61">
        <v>7.4999999999999997E-2</v>
      </c>
      <c r="R15" s="76">
        <v>8.6999999999999994E-2</v>
      </c>
      <c r="S15" s="76">
        <v>9.4E-2</v>
      </c>
      <c r="T15" s="75">
        <f t="shared" si="3"/>
        <v>8.533333333333333E-2</v>
      </c>
      <c r="U15" s="155" t="s">
        <v>11</v>
      </c>
      <c r="V15" s="156">
        <f>U14/U16</f>
        <v>7.9330095771453141E-2</v>
      </c>
    </row>
    <row r="16" spans="1:22" ht="30" customHeight="1" thickTop="1" x14ac:dyDescent="0.25">
      <c r="A16" s="104" t="s">
        <v>17</v>
      </c>
      <c r="B16" s="113" t="s">
        <v>13</v>
      </c>
      <c r="C16" s="114" t="s">
        <v>8</v>
      </c>
      <c r="D16" s="115" t="s">
        <v>9</v>
      </c>
      <c r="E16" s="116">
        <v>387748</v>
      </c>
      <c r="F16" s="117">
        <v>360572.2</v>
      </c>
      <c r="G16" s="116">
        <v>380903.1</v>
      </c>
      <c r="H16" s="118">
        <f>AVERAGE(E16:G16)</f>
        <v>376407.7666666666</v>
      </c>
      <c r="I16" s="117">
        <v>360664.6</v>
      </c>
      <c r="J16" s="117">
        <v>359408.8</v>
      </c>
      <c r="K16" s="117">
        <v>363795.1</v>
      </c>
      <c r="L16" s="118">
        <f t="shared" si="1"/>
        <v>361289.5</v>
      </c>
      <c r="M16" s="117">
        <v>389148.5</v>
      </c>
      <c r="N16" s="117">
        <v>400140.4</v>
      </c>
      <c r="O16" s="117">
        <v>335946.3</v>
      </c>
      <c r="P16" s="118">
        <f t="shared" si="2"/>
        <v>375078.39999999997</v>
      </c>
      <c r="Q16" s="117">
        <v>441783.8</v>
      </c>
      <c r="R16" s="117">
        <v>379931.4</v>
      </c>
      <c r="S16" s="117">
        <v>400962</v>
      </c>
      <c r="T16" s="118">
        <f t="shared" si="3"/>
        <v>407559.06666666665</v>
      </c>
      <c r="U16" s="157">
        <f>+S16+R16+Q16+O16+N16+M16+K16+J16+I16+G16+F16+E16</f>
        <v>4561004.2</v>
      </c>
      <c r="V16" s="158">
        <f>+U16/12</f>
        <v>380083.68333333335</v>
      </c>
    </row>
    <row r="17" spans="1:24" ht="30" customHeight="1" x14ac:dyDescent="0.25">
      <c r="A17" s="105"/>
      <c r="B17" s="10" t="s">
        <v>14</v>
      </c>
      <c r="C17" s="12" t="s">
        <v>15</v>
      </c>
      <c r="D17" s="98" t="s">
        <v>9</v>
      </c>
      <c r="E17" s="49">
        <f>E16/E8</f>
        <v>17624.909090909092</v>
      </c>
      <c r="F17" s="62">
        <f>F16/F8</f>
        <v>18028.61</v>
      </c>
      <c r="G17" s="49">
        <f>G16/G8</f>
        <v>17313.777272727271</v>
      </c>
      <c r="H17" s="77">
        <f>SUM(E16:G16)/SUM(E8:G8)</f>
        <v>17644.114062499997</v>
      </c>
      <c r="I17" s="62">
        <f>I16/I8</f>
        <v>18033.23</v>
      </c>
      <c r="J17" s="62">
        <f>J16/J8</f>
        <v>17114.704761904763</v>
      </c>
      <c r="K17" s="62">
        <f>K16/K8</f>
        <v>18189.754999999997</v>
      </c>
      <c r="L17" s="77">
        <f>SUM(I16:K16)/SUM(I8:K8)</f>
        <v>17768.336065573771</v>
      </c>
      <c r="M17" s="62">
        <f>M16/M8</f>
        <v>17688.56818181818</v>
      </c>
      <c r="N17" s="62">
        <f>N16/N8</f>
        <v>18188.2</v>
      </c>
      <c r="O17" s="62">
        <f>O16/O8</f>
        <v>16797.314999999999</v>
      </c>
      <c r="P17" s="77">
        <f>SUM(M16:O16)/SUM(M8:O8)</f>
        <v>17581.8</v>
      </c>
      <c r="Q17" s="62">
        <f>Q16/Q8</f>
        <v>19207.991304347826</v>
      </c>
      <c r="R17" s="62">
        <f>R16/R8</f>
        <v>18091.971428571429</v>
      </c>
      <c r="S17" s="62">
        <f>S16/S8</f>
        <v>21103.263157894737</v>
      </c>
      <c r="T17" s="77">
        <f>SUM(Q16:S16)/SUM(Q8:S8)</f>
        <v>19407.574603174602</v>
      </c>
      <c r="U17" s="159" t="s">
        <v>11</v>
      </c>
      <c r="V17" s="160">
        <f>U16/U8</f>
        <v>18099.223015873016</v>
      </c>
    </row>
    <row r="18" spans="1:24" ht="30" customHeight="1" x14ac:dyDescent="0.35">
      <c r="A18" s="107"/>
      <c r="B18" s="15" t="s">
        <v>36</v>
      </c>
      <c r="C18" s="23" t="s">
        <v>8</v>
      </c>
      <c r="D18" s="95" t="s">
        <v>9</v>
      </c>
      <c r="E18" s="47">
        <v>385953</v>
      </c>
      <c r="F18" s="60">
        <v>359048.9</v>
      </c>
      <c r="G18" s="47">
        <v>379017.2</v>
      </c>
      <c r="H18" s="74">
        <f t="shared" ref="H18:H35" si="4">AVERAGE(E18:G18)</f>
        <v>374673.03333333338</v>
      </c>
      <c r="I18" s="60">
        <v>358939.6</v>
      </c>
      <c r="J18" s="60">
        <v>357453.1</v>
      </c>
      <c r="K18" s="60">
        <v>362049</v>
      </c>
      <c r="L18" s="74">
        <f>AVERAGE(I18:K18)</f>
        <v>359480.56666666665</v>
      </c>
      <c r="M18" s="60">
        <v>387169.5</v>
      </c>
      <c r="N18" s="60">
        <v>397682.5</v>
      </c>
      <c r="O18" s="60">
        <v>334119.3</v>
      </c>
      <c r="P18" s="74">
        <f>AVERAGE(M18:O18)</f>
        <v>372990.43333333335</v>
      </c>
      <c r="Q18" s="60">
        <v>439662.6</v>
      </c>
      <c r="R18" s="60">
        <v>377942.5</v>
      </c>
      <c r="S18" s="60">
        <v>398726.7</v>
      </c>
      <c r="T18" s="74">
        <f>AVERAGE(Q18:S18)</f>
        <v>405443.93333333335</v>
      </c>
      <c r="U18" s="150">
        <f>+S18+R18+Q18+O18+N18+M18+K18+J18+I18+G18+F18+E18</f>
        <v>4537763.9000000004</v>
      </c>
      <c r="V18" s="154">
        <f>+U18/12</f>
        <v>378146.9916666667</v>
      </c>
    </row>
    <row r="19" spans="1:24" ht="30" customHeight="1" x14ac:dyDescent="0.25">
      <c r="A19" s="108"/>
      <c r="B19" s="9" t="s">
        <v>32</v>
      </c>
      <c r="C19" s="26" t="s">
        <v>10</v>
      </c>
      <c r="D19" s="94"/>
      <c r="E19" s="46">
        <v>0.995</v>
      </c>
      <c r="F19" s="59">
        <v>0.996</v>
      </c>
      <c r="G19" s="46">
        <v>0.995</v>
      </c>
      <c r="H19" s="72">
        <f t="shared" si="4"/>
        <v>0.9953333333333334</v>
      </c>
      <c r="I19" s="59">
        <v>0.995</v>
      </c>
      <c r="J19" s="59">
        <v>0.995</v>
      </c>
      <c r="K19" s="59">
        <v>0.995</v>
      </c>
      <c r="L19" s="72">
        <f>AVERAGE(I19:K19)</f>
        <v>0.995</v>
      </c>
      <c r="M19" s="59">
        <v>0.995</v>
      </c>
      <c r="N19" s="59">
        <v>0.99399999999999999</v>
      </c>
      <c r="O19" s="59">
        <v>0.995</v>
      </c>
      <c r="P19" s="72">
        <f>AVERAGE(M19:O19)</f>
        <v>0.9946666666666667</v>
      </c>
      <c r="Q19" s="59">
        <v>0.995</v>
      </c>
      <c r="R19" s="73">
        <v>0.995</v>
      </c>
      <c r="S19" s="59">
        <v>0.99399999999999999</v>
      </c>
      <c r="T19" s="72">
        <f>AVERAGE(Q19:S19)</f>
        <v>0.9946666666666667</v>
      </c>
      <c r="U19" s="152" t="s">
        <v>11</v>
      </c>
      <c r="V19" s="153">
        <f>+U18/U16</f>
        <v>0.99490456509555514</v>
      </c>
    </row>
    <row r="20" spans="1:24" ht="30" customHeight="1" x14ac:dyDescent="0.35">
      <c r="A20" s="107"/>
      <c r="B20" s="15" t="s">
        <v>36</v>
      </c>
      <c r="C20" s="23" t="s">
        <v>8</v>
      </c>
      <c r="D20" s="95" t="s">
        <v>9</v>
      </c>
      <c r="E20" s="47">
        <v>1795</v>
      </c>
      <c r="F20" s="60">
        <v>1523.3</v>
      </c>
      <c r="G20" s="47">
        <v>1886</v>
      </c>
      <c r="H20" s="74">
        <f t="shared" si="4"/>
        <v>1734.7666666666667</v>
      </c>
      <c r="I20" s="60">
        <v>1725.1</v>
      </c>
      <c r="J20" s="60">
        <v>1955.7</v>
      </c>
      <c r="K20" s="60">
        <v>1746.1</v>
      </c>
      <c r="L20" s="74">
        <f>AVERAGE(I20:K20)</f>
        <v>1808.9666666666665</v>
      </c>
      <c r="M20" s="60">
        <v>1979</v>
      </c>
      <c r="N20" s="60">
        <v>2457.9</v>
      </c>
      <c r="O20" s="60">
        <v>1827</v>
      </c>
      <c r="P20" s="74">
        <f>AVERAGE(M20:O20)</f>
        <v>2087.9666666666667</v>
      </c>
      <c r="Q20" s="60">
        <v>2121.1999999999998</v>
      </c>
      <c r="R20" s="60">
        <v>1989</v>
      </c>
      <c r="S20" s="60">
        <v>2235.4</v>
      </c>
      <c r="T20" s="74">
        <f>AVERAGE(Q20:S20)</f>
        <v>2115.2000000000003</v>
      </c>
      <c r="U20" s="150">
        <f>+S20+R20+Q20+O20+N20+M20+K20+J20+I20+G20+F20+E20</f>
        <v>23240.7</v>
      </c>
      <c r="V20" s="154">
        <f>+U20/12</f>
        <v>1936.7250000000001</v>
      </c>
    </row>
    <row r="21" spans="1:24" ht="30" customHeight="1" thickBot="1" x14ac:dyDescent="0.3">
      <c r="A21" s="109"/>
      <c r="B21" s="32" t="s">
        <v>31</v>
      </c>
      <c r="C21" s="33" t="s">
        <v>10</v>
      </c>
      <c r="D21" s="96"/>
      <c r="E21" s="48">
        <v>5.0000000000000001E-3</v>
      </c>
      <c r="F21" s="61">
        <v>4.0000000000000001E-3</v>
      </c>
      <c r="G21" s="48">
        <v>5.0000000000000001E-3</v>
      </c>
      <c r="H21" s="75">
        <f t="shared" si="4"/>
        <v>4.6666666666666671E-3</v>
      </c>
      <c r="I21" s="61">
        <v>5.0000000000000001E-3</v>
      </c>
      <c r="J21" s="61">
        <v>5.0000000000000001E-3</v>
      </c>
      <c r="K21" s="61">
        <v>5.0000000000000001E-3</v>
      </c>
      <c r="L21" s="75">
        <f>AVERAGE(I21:K21)</f>
        <v>5.0000000000000001E-3</v>
      </c>
      <c r="M21" s="61">
        <v>5.0000000000000001E-3</v>
      </c>
      <c r="N21" s="61">
        <v>6.0000000000000001E-3</v>
      </c>
      <c r="O21" s="61">
        <v>5.0000000000000001E-3</v>
      </c>
      <c r="P21" s="75">
        <f>AVERAGE(M21:O21)</f>
        <v>5.3333333333333332E-3</v>
      </c>
      <c r="Q21" s="61">
        <v>5.0000000000000001E-3</v>
      </c>
      <c r="R21" s="76">
        <v>5.0000000000000001E-3</v>
      </c>
      <c r="S21" s="76">
        <v>6.0000000000000001E-3</v>
      </c>
      <c r="T21" s="75">
        <f>AVERAGE(Q21:S21)</f>
        <v>5.3333333333333332E-3</v>
      </c>
      <c r="U21" s="155" t="s">
        <v>11</v>
      </c>
      <c r="V21" s="156">
        <f>+U20/U16</f>
        <v>5.0955226044299626E-3</v>
      </c>
    </row>
    <row r="22" spans="1:24" ht="30" customHeight="1" thickTop="1" x14ac:dyDescent="0.25">
      <c r="A22" s="104" t="s">
        <v>24</v>
      </c>
      <c r="B22" s="113" t="s">
        <v>37</v>
      </c>
      <c r="C22" s="114" t="s">
        <v>19</v>
      </c>
      <c r="D22" s="115" t="s">
        <v>16</v>
      </c>
      <c r="E22" s="116">
        <v>46058.1</v>
      </c>
      <c r="F22" s="117">
        <v>42313.7</v>
      </c>
      <c r="G22" s="116">
        <v>46796</v>
      </c>
      <c r="H22" s="118">
        <f>AVERAGE(E22:G22)</f>
        <v>45055.933333333327</v>
      </c>
      <c r="I22" s="117">
        <v>43690</v>
      </c>
      <c r="J22" s="117">
        <v>44649.2</v>
      </c>
      <c r="K22" s="117">
        <v>42803.6</v>
      </c>
      <c r="L22" s="118">
        <f>AVERAGE(I22:K22)</f>
        <v>43714.266666666663</v>
      </c>
      <c r="M22" s="117">
        <v>44991.4</v>
      </c>
      <c r="N22" s="117">
        <v>42172</v>
      </c>
      <c r="O22" s="117">
        <v>39173</v>
      </c>
      <c r="P22" s="118">
        <f>AVERAGE(M22:O22)</f>
        <v>42112.133333333331</v>
      </c>
      <c r="Q22" s="117">
        <v>45305.5</v>
      </c>
      <c r="R22" s="117">
        <v>41556.800000000003</v>
      </c>
      <c r="S22" s="117">
        <v>41118.800000000003</v>
      </c>
      <c r="T22" s="118">
        <f>AVERAGE(Q22:S22)</f>
        <v>42660.366666666669</v>
      </c>
      <c r="U22" s="157">
        <f>+S22+R22+Q22+O22+N22+M22+K22+J22+I22+G22+F22+E22</f>
        <v>520628.1</v>
      </c>
      <c r="V22" s="161">
        <f>+U22/12</f>
        <v>43385.674999999996</v>
      </c>
    </row>
    <row r="23" spans="1:24" ht="30" customHeight="1" x14ac:dyDescent="0.25">
      <c r="A23" s="105"/>
      <c r="B23" s="10" t="s">
        <v>14</v>
      </c>
      <c r="C23" s="29" t="s">
        <v>38</v>
      </c>
      <c r="D23" s="99" t="s">
        <v>16</v>
      </c>
      <c r="E23" s="50">
        <f>E22/E8</f>
        <v>2093.5499999999997</v>
      </c>
      <c r="F23" s="63">
        <f>F22/F8</f>
        <v>2115.6849999999999</v>
      </c>
      <c r="G23" s="50">
        <f>G22/G8</f>
        <v>2127.090909090909</v>
      </c>
      <c r="H23" s="78">
        <f>SUM(E22:G22)/SUM(E8:G8)</f>
        <v>2111.9968749999998</v>
      </c>
      <c r="I23" s="63">
        <f>I22/I8</f>
        <v>2184.5</v>
      </c>
      <c r="J23" s="63">
        <f>J22/J8</f>
        <v>2126.152380952381</v>
      </c>
      <c r="K23" s="63">
        <f>K22/K8</f>
        <v>2140.1799999999998</v>
      </c>
      <c r="L23" s="78">
        <f>SUM(I22:K22)/SUM(I8:K8)</f>
        <v>2149.8819672131144</v>
      </c>
      <c r="M23" s="63">
        <f>M22/M8</f>
        <v>2045.0636363636365</v>
      </c>
      <c r="N23" s="63">
        <f>N22/N8</f>
        <v>1916.909090909091</v>
      </c>
      <c r="O23" s="63">
        <f>O22/O8</f>
        <v>1958.65</v>
      </c>
      <c r="P23" s="78">
        <f>SUM(M22:O22)/SUM(M8:O8)</f>
        <v>1974.0062499999999</v>
      </c>
      <c r="Q23" s="63">
        <f>Q22/Q8</f>
        <v>1969.804347826087</v>
      </c>
      <c r="R23" s="63">
        <f>R22/R8</f>
        <v>1978.8952380952383</v>
      </c>
      <c r="S23" s="63">
        <f>S22/S8</f>
        <v>2164.1473684210528</v>
      </c>
      <c r="T23" s="78">
        <f>SUM(Q22:S22)/SUM(Q8:S8)</f>
        <v>2031.4460317460318</v>
      </c>
      <c r="U23" s="162"/>
      <c r="V23" s="163">
        <f>+U22/U8</f>
        <v>2065.9845238095236</v>
      </c>
    </row>
    <row r="24" spans="1:24" ht="30" customHeight="1" x14ac:dyDescent="0.35">
      <c r="A24" s="107"/>
      <c r="B24" s="15" t="s">
        <v>36</v>
      </c>
      <c r="C24" s="86" t="s">
        <v>19</v>
      </c>
      <c r="D24" s="95" t="s">
        <v>16</v>
      </c>
      <c r="E24" s="47">
        <v>45406.32</v>
      </c>
      <c r="F24" s="60">
        <v>41792.1</v>
      </c>
      <c r="G24" s="47">
        <v>46218.89</v>
      </c>
      <c r="H24" s="74">
        <f>AVERAGE(E24:G24)</f>
        <v>44472.436666666668</v>
      </c>
      <c r="I24" s="60">
        <v>43164.9</v>
      </c>
      <c r="J24" s="60">
        <v>44090.98</v>
      </c>
      <c r="K24" s="60">
        <v>42359.23</v>
      </c>
      <c r="L24" s="74">
        <f t="shared" ref="L24:L29" si="5">AVERAGE(I24:K24)</f>
        <v>43205.036666666674</v>
      </c>
      <c r="M24" s="60">
        <v>44493.8</v>
      </c>
      <c r="N24" s="60">
        <v>41688</v>
      </c>
      <c r="O24" s="60">
        <v>38788.300000000003</v>
      </c>
      <c r="P24" s="74">
        <f t="shared" ref="P24:P29" si="6">AVERAGE(M24:O24)</f>
        <v>41656.700000000004</v>
      </c>
      <c r="Q24" s="60">
        <v>44854.6</v>
      </c>
      <c r="R24" s="60">
        <v>41170.9</v>
      </c>
      <c r="S24" s="60">
        <v>40752.300000000003</v>
      </c>
      <c r="T24" s="74">
        <f t="shared" ref="T24:T29" si="7">AVERAGE(Q24:S24)</f>
        <v>42259.26666666667</v>
      </c>
      <c r="U24" s="150">
        <f>+S24+R24+Q24+O24+N24+M24+K24+J24+I24+G24+F24+E24</f>
        <v>514780.32</v>
      </c>
      <c r="V24" s="154">
        <f>+U24/12</f>
        <v>42898.36</v>
      </c>
    </row>
    <row r="25" spans="1:24" ht="30" customHeight="1" x14ac:dyDescent="0.25">
      <c r="A25" s="108"/>
      <c r="B25" s="9" t="s">
        <v>32</v>
      </c>
      <c r="C25" s="20" t="s">
        <v>21</v>
      </c>
      <c r="D25" s="94"/>
      <c r="E25" s="46">
        <f>E24/E22</f>
        <v>0.98584874321780536</v>
      </c>
      <c r="F25" s="59">
        <f>F24/F22</f>
        <v>0.98767302315798433</v>
      </c>
      <c r="G25" s="46">
        <f>G24/G22</f>
        <v>0.98766753568681087</v>
      </c>
      <c r="H25" s="72">
        <f>AVERAGE(E25:G25)</f>
        <v>0.98706310068753356</v>
      </c>
      <c r="I25" s="59">
        <f>I24/I22</f>
        <v>0.98798123140306715</v>
      </c>
      <c r="J25" s="59">
        <f>J24/J22</f>
        <v>0.98749764833412479</v>
      </c>
      <c r="K25" s="59">
        <f>K24/K22</f>
        <v>0.98961839658346507</v>
      </c>
      <c r="L25" s="72">
        <f t="shared" si="5"/>
        <v>0.98836575877355237</v>
      </c>
      <c r="M25" s="59">
        <f>M24/M22</f>
        <v>0.98894010855407921</v>
      </c>
      <c r="N25" s="59">
        <f>N24/N22</f>
        <v>0.98852319074267281</v>
      </c>
      <c r="O25" s="59">
        <f>O24/O22</f>
        <v>0.99017946034258297</v>
      </c>
      <c r="P25" s="72">
        <f t="shared" si="6"/>
        <v>0.98921425321311174</v>
      </c>
      <c r="Q25" s="59">
        <v>0.99</v>
      </c>
      <c r="R25" s="73">
        <v>0.99099999999999999</v>
      </c>
      <c r="S25" s="59">
        <v>0.99099999999999999</v>
      </c>
      <c r="T25" s="72">
        <f t="shared" si="7"/>
        <v>0.9906666666666667</v>
      </c>
      <c r="U25" s="164" t="s">
        <v>11</v>
      </c>
      <c r="V25" s="165">
        <f>+U24/U22</f>
        <v>0.98876783638839327</v>
      </c>
      <c r="X25" s="8"/>
    </row>
    <row r="26" spans="1:24" ht="30" customHeight="1" x14ac:dyDescent="0.35">
      <c r="A26" s="107"/>
      <c r="B26" s="15" t="s">
        <v>36</v>
      </c>
      <c r="C26" s="87" t="s">
        <v>19</v>
      </c>
      <c r="D26" s="95" t="s">
        <v>9</v>
      </c>
      <c r="E26" s="47">
        <v>651.70000000000005</v>
      </c>
      <c r="F26" s="60">
        <v>521.58000000000004</v>
      </c>
      <c r="G26" s="47">
        <v>577.1</v>
      </c>
      <c r="H26" s="74">
        <f>AVERAGE(E26:G26)</f>
        <v>583.46</v>
      </c>
      <c r="I26" s="60">
        <v>525.08000000000004</v>
      </c>
      <c r="J26" s="60">
        <v>558.23</v>
      </c>
      <c r="K26" s="60">
        <v>444.4</v>
      </c>
      <c r="L26" s="74">
        <f t="shared" si="5"/>
        <v>509.23666666666668</v>
      </c>
      <c r="M26" s="60">
        <v>497.6</v>
      </c>
      <c r="N26" s="60">
        <v>484</v>
      </c>
      <c r="O26" s="60">
        <v>384.7</v>
      </c>
      <c r="P26" s="74">
        <f t="shared" si="6"/>
        <v>455.43333333333334</v>
      </c>
      <c r="Q26" s="60">
        <v>450.9</v>
      </c>
      <c r="R26" s="60">
        <v>385.9</v>
      </c>
      <c r="S26" s="60">
        <v>366.1</v>
      </c>
      <c r="T26" s="74">
        <f t="shared" si="7"/>
        <v>400.9666666666667</v>
      </c>
      <c r="U26" s="150">
        <f>+S26+R26+Q26+O26+N26+M26+K26+J26+I26+G26+F26+E26</f>
        <v>5847.2900000000009</v>
      </c>
      <c r="V26" s="166">
        <f>+U26/12</f>
        <v>487.27416666666676</v>
      </c>
    </row>
    <row r="27" spans="1:24" ht="30" customHeight="1" thickBot="1" x14ac:dyDescent="0.3">
      <c r="A27" s="109"/>
      <c r="B27" s="32" t="s">
        <v>31</v>
      </c>
      <c r="C27" s="33" t="s">
        <v>21</v>
      </c>
      <c r="D27" s="96"/>
      <c r="E27" s="48">
        <f>E26/E22</f>
        <v>1.4149519845586336E-2</v>
      </c>
      <c r="F27" s="61">
        <f>F26/F22</f>
        <v>1.2326504181860723E-2</v>
      </c>
      <c r="G27" s="48">
        <f>G26/G22</f>
        <v>1.2332250619711087E-2</v>
      </c>
      <c r="H27" s="75">
        <f>AVERAGE(E27:G27)</f>
        <v>1.2936091549052717E-2</v>
      </c>
      <c r="I27" s="61">
        <f>I26/I22</f>
        <v>1.2018310826276036E-2</v>
      </c>
      <c r="J27" s="61">
        <f>J26/J22</f>
        <v>1.2502575634053915E-2</v>
      </c>
      <c r="K27" s="61">
        <f>K26/K22</f>
        <v>1.0382304292162341E-2</v>
      </c>
      <c r="L27" s="75">
        <f t="shared" si="5"/>
        <v>1.163439691749743E-2</v>
      </c>
      <c r="M27" s="61">
        <f>M26/M22</f>
        <v>1.1059891445920777E-2</v>
      </c>
      <c r="N27" s="61">
        <f>N26/N22</f>
        <v>1.1476809257327136E-2</v>
      </c>
      <c r="O27" s="61">
        <f>O26/O22</f>
        <v>9.8205396574170978E-3</v>
      </c>
      <c r="P27" s="75">
        <f t="shared" si="6"/>
        <v>1.0785746786888336E-2</v>
      </c>
      <c r="Q27" s="61">
        <v>0.01</v>
      </c>
      <c r="R27" s="76">
        <v>8.9999999999999993E-3</v>
      </c>
      <c r="S27" s="76">
        <v>8.9999999999999993E-3</v>
      </c>
      <c r="T27" s="75">
        <f t="shared" si="7"/>
        <v>9.3333333333333324E-3</v>
      </c>
      <c r="U27" s="167" t="s">
        <v>11</v>
      </c>
      <c r="V27" s="168">
        <f>+U26/U22</f>
        <v>1.123122244074033E-2</v>
      </c>
    </row>
    <row r="28" spans="1:24" ht="30" customHeight="1" thickTop="1" x14ac:dyDescent="0.25">
      <c r="A28" s="104" t="s">
        <v>33</v>
      </c>
      <c r="B28" s="113" t="s">
        <v>34</v>
      </c>
      <c r="C28" s="177" t="s">
        <v>18</v>
      </c>
      <c r="D28" s="97"/>
      <c r="E28" s="178">
        <v>2331</v>
      </c>
      <c r="F28" s="179">
        <v>2332</v>
      </c>
      <c r="G28" s="178">
        <v>2327</v>
      </c>
      <c r="H28" s="180">
        <f t="shared" si="4"/>
        <v>2330</v>
      </c>
      <c r="I28" s="179">
        <v>2326</v>
      </c>
      <c r="J28" s="179">
        <v>2326</v>
      </c>
      <c r="K28" s="179">
        <v>2322</v>
      </c>
      <c r="L28" s="180">
        <f t="shared" si="5"/>
        <v>2324.6666666666665</v>
      </c>
      <c r="M28" s="179">
        <v>2318</v>
      </c>
      <c r="N28" s="179">
        <v>2316</v>
      </c>
      <c r="O28" s="179">
        <v>2221</v>
      </c>
      <c r="P28" s="180">
        <f t="shared" si="6"/>
        <v>2285</v>
      </c>
      <c r="Q28" s="179">
        <v>2338</v>
      </c>
      <c r="R28" s="179">
        <v>2342</v>
      </c>
      <c r="S28" s="179">
        <v>2342</v>
      </c>
      <c r="T28" s="180">
        <f t="shared" si="7"/>
        <v>2340.6666666666665</v>
      </c>
      <c r="U28" s="181" t="s">
        <v>11</v>
      </c>
      <c r="V28" s="182">
        <f>AVERAGE(E28:G28,I28:K28,M28:O28,Q28:S28)</f>
        <v>2320.0833333333335</v>
      </c>
    </row>
    <row r="29" spans="1:24" ht="30" customHeight="1" x14ac:dyDescent="0.25">
      <c r="A29" s="110"/>
      <c r="B29" s="11"/>
      <c r="C29" s="119" t="s">
        <v>19</v>
      </c>
      <c r="D29" s="120" t="s">
        <v>16</v>
      </c>
      <c r="E29" s="121">
        <v>19182.900000000001</v>
      </c>
      <c r="F29" s="122">
        <v>18479.900000000001</v>
      </c>
      <c r="G29" s="121">
        <v>20481.599999999999</v>
      </c>
      <c r="H29" s="123">
        <f t="shared" si="4"/>
        <v>19381.466666666667</v>
      </c>
      <c r="I29" s="122">
        <v>20478.400000000001</v>
      </c>
      <c r="J29" s="122">
        <v>21463.3</v>
      </c>
      <c r="K29" s="122">
        <v>21570.400000000001</v>
      </c>
      <c r="L29" s="123">
        <f t="shared" si="5"/>
        <v>21170.7</v>
      </c>
      <c r="M29" s="122">
        <v>23205.200000000001</v>
      </c>
      <c r="N29" s="122">
        <v>22963</v>
      </c>
      <c r="O29" s="122">
        <v>22393.9</v>
      </c>
      <c r="P29" s="123">
        <f t="shared" si="6"/>
        <v>22854.033333333336</v>
      </c>
      <c r="Q29" s="122">
        <v>27016.400000000001</v>
      </c>
      <c r="R29" s="122">
        <v>26351.9</v>
      </c>
      <c r="S29" s="122">
        <v>27703.9</v>
      </c>
      <c r="T29" s="123">
        <f t="shared" si="7"/>
        <v>27024.066666666669</v>
      </c>
      <c r="U29" s="169">
        <f>+S29+R29+Q29+O29+N29+M29+K29+J29+I29+G29+F29+E29</f>
        <v>271290.8</v>
      </c>
      <c r="V29" s="170">
        <f>+U29/12</f>
        <v>22607.566666666666</v>
      </c>
    </row>
    <row r="30" spans="1:24" ht="30" customHeight="1" x14ac:dyDescent="0.25">
      <c r="A30" s="110"/>
      <c r="B30" s="11"/>
      <c r="C30" s="2" t="s">
        <v>20</v>
      </c>
      <c r="D30" s="100" t="s">
        <v>16</v>
      </c>
      <c r="E30" s="51">
        <f>E29/E8</f>
        <v>871.95</v>
      </c>
      <c r="F30" s="64">
        <f>F29/F8</f>
        <v>923.99500000000012</v>
      </c>
      <c r="G30" s="51">
        <f>G29/G8</f>
        <v>930.98181818181808</v>
      </c>
      <c r="H30" s="79">
        <f>SUM(E29:G29)/SUM(E8:G8)</f>
        <v>908.50625000000002</v>
      </c>
      <c r="I30" s="64">
        <f>I29/I8</f>
        <v>1023.9200000000001</v>
      </c>
      <c r="J30" s="64">
        <f>J29/J8</f>
        <v>1022.0619047619048</v>
      </c>
      <c r="K30" s="64">
        <f>K29/K8</f>
        <v>1078.52</v>
      </c>
      <c r="L30" s="79">
        <f>SUM(I29:K29)/SUM(I8:K8)</f>
        <v>1041.1819672131148</v>
      </c>
      <c r="M30" s="64">
        <f>M29/M8</f>
        <v>1054.7818181818182</v>
      </c>
      <c r="N30" s="64">
        <f>N29/N8</f>
        <v>1043.7727272727273</v>
      </c>
      <c r="O30" s="64">
        <f>O29/O8</f>
        <v>1119.6950000000002</v>
      </c>
      <c r="P30" s="79">
        <f>SUM(M29:O29)/SUM(M8:O8)</f>
        <v>1071.2828125000001</v>
      </c>
      <c r="Q30" s="64">
        <f>Q29/Q8</f>
        <v>1174.6260869565217</v>
      </c>
      <c r="R30" s="64">
        <f>R29/R8</f>
        <v>1254.8523809523811</v>
      </c>
      <c r="S30" s="64">
        <f>S29/S8</f>
        <v>1458.1000000000001</v>
      </c>
      <c r="T30" s="79">
        <f>SUM(Q29:S29)/SUM(Q8:S8)</f>
        <v>1286.8603174603177</v>
      </c>
      <c r="U30" s="171" t="s">
        <v>25</v>
      </c>
      <c r="V30" s="172">
        <f>U29/U8</f>
        <v>1076.5507936507936</v>
      </c>
    </row>
    <row r="31" spans="1:24" ht="30" customHeight="1" x14ac:dyDescent="0.25">
      <c r="A31" s="110"/>
      <c r="B31" s="11"/>
      <c r="C31" s="2" t="s">
        <v>21</v>
      </c>
      <c r="D31" s="100"/>
      <c r="E31" s="52">
        <f>E29/E22</f>
        <v>0.41649351579852406</v>
      </c>
      <c r="F31" s="65">
        <f>F29/F22</f>
        <v>0.43673561990560983</v>
      </c>
      <c r="G31" s="52">
        <f>G29/G22</f>
        <v>0.43767843405419266</v>
      </c>
      <c r="H31" s="80">
        <f t="shared" si="4"/>
        <v>0.43030252325277552</v>
      </c>
      <c r="I31" s="65">
        <f>I29/I22</f>
        <v>0.46872053101396205</v>
      </c>
      <c r="J31" s="65">
        <f>J29/J22</f>
        <v>0.48070962077708002</v>
      </c>
      <c r="K31" s="65">
        <f>K29/K22</f>
        <v>0.50393892102533433</v>
      </c>
      <c r="L31" s="80">
        <f>AVERAGE(I31:K31)</f>
        <v>0.4844563576054588</v>
      </c>
      <c r="M31" s="65">
        <v>0.51600000000000001</v>
      </c>
      <c r="N31" s="65">
        <v>0.54500000000000004</v>
      </c>
      <c r="O31" s="65">
        <v>0.57199999999999995</v>
      </c>
      <c r="P31" s="80">
        <f>AVERAGE(M31:O31)</f>
        <v>0.54433333333333334</v>
      </c>
      <c r="Q31" s="65">
        <v>0.59599999999999997</v>
      </c>
      <c r="R31" s="81">
        <v>0.63400000000000001</v>
      </c>
      <c r="S31" s="81">
        <v>0.67400000000000004</v>
      </c>
      <c r="T31" s="80">
        <f>AVERAGE(Q31:S31)</f>
        <v>0.6346666666666666</v>
      </c>
      <c r="U31" s="171" t="s">
        <v>11</v>
      </c>
      <c r="V31" s="173">
        <f>+U29/U22</f>
        <v>0.52108366797719907</v>
      </c>
    </row>
    <row r="32" spans="1:24" ht="30" customHeight="1" x14ac:dyDescent="0.25">
      <c r="A32" s="110"/>
      <c r="B32" s="11"/>
      <c r="C32" s="2" t="s">
        <v>22</v>
      </c>
      <c r="D32" s="100" t="s">
        <v>23</v>
      </c>
      <c r="E32" s="51">
        <v>18.5</v>
      </c>
      <c r="F32" s="64">
        <v>18</v>
      </c>
      <c r="G32" s="51">
        <v>17.100000000000001</v>
      </c>
      <c r="H32" s="79">
        <f t="shared" si="4"/>
        <v>17.866666666666667</v>
      </c>
      <c r="I32" s="64">
        <v>16.3</v>
      </c>
      <c r="J32" s="64">
        <v>15.5</v>
      </c>
      <c r="K32" s="64">
        <v>15.7</v>
      </c>
      <c r="L32" s="79">
        <f>SUM(I33:K33)/SUM(I29:K29)</f>
        <v>15.811248565234028</v>
      </c>
      <c r="M32" s="64">
        <v>15.7</v>
      </c>
      <c r="N32" s="64">
        <v>16.399999999999999</v>
      </c>
      <c r="O32" s="64">
        <v>14.1</v>
      </c>
      <c r="P32" s="79">
        <f>SUM(M33:O33)/SUM(M29:O29)</f>
        <v>15.390338102245991</v>
      </c>
      <c r="Q32" s="64">
        <v>15.5</v>
      </c>
      <c r="R32" s="64">
        <v>13.6</v>
      </c>
      <c r="S32" s="64">
        <v>13.7</v>
      </c>
      <c r="T32" s="79">
        <f>SUM(Q33:S33)/SUM(Q29:S29)</f>
        <v>14.269604130639106</v>
      </c>
      <c r="U32" s="162" t="s">
        <v>11</v>
      </c>
      <c r="V32" s="172">
        <f>AVERAGE(E32:G32,I32:K32,M32:O32,Q32:S32)</f>
        <v>15.841666666666667</v>
      </c>
    </row>
    <row r="33" spans="1:22" ht="30" customHeight="1" x14ac:dyDescent="0.25">
      <c r="A33" s="110"/>
      <c r="B33" s="11"/>
      <c r="C33" s="124" t="s">
        <v>26</v>
      </c>
      <c r="D33" s="125" t="s">
        <v>9</v>
      </c>
      <c r="E33" s="126">
        <v>355775.9</v>
      </c>
      <c r="F33" s="127">
        <v>333330</v>
      </c>
      <c r="G33" s="126">
        <v>351076.2</v>
      </c>
      <c r="H33" s="128">
        <f>AVERAGE(E33:G33)</f>
        <v>346727.3666666667</v>
      </c>
      <c r="I33" s="127">
        <v>333586.59999999998</v>
      </c>
      <c r="J33" s="127">
        <v>331884.7</v>
      </c>
      <c r="K33" s="127">
        <v>338734.3</v>
      </c>
      <c r="L33" s="128">
        <f>AVERAGE(I33:K33)</f>
        <v>334735.2</v>
      </c>
      <c r="M33" s="127">
        <v>363932.8</v>
      </c>
      <c r="N33" s="127">
        <v>376032.9</v>
      </c>
      <c r="O33" s="127">
        <v>315228.2</v>
      </c>
      <c r="P33" s="128">
        <f>AVERAGE(M33:O33)</f>
        <v>351731.3</v>
      </c>
      <c r="Q33" s="127">
        <v>418188.6</v>
      </c>
      <c r="R33" s="127">
        <v>359326.8</v>
      </c>
      <c r="S33" s="127">
        <v>379352.8</v>
      </c>
      <c r="T33" s="128">
        <f>AVERAGE(Q33:S33)</f>
        <v>385622.73333333334</v>
      </c>
      <c r="U33" s="169">
        <f>+S33+R33+Q33+O33+N33+M33+K33+J33+I33+G33+F33+E33</f>
        <v>4256449.8</v>
      </c>
      <c r="V33" s="176">
        <f>+U33/12</f>
        <v>354704.14999999997</v>
      </c>
    </row>
    <row r="34" spans="1:22" ht="30" customHeight="1" x14ac:dyDescent="0.25">
      <c r="A34" s="110"/>
      <c r="B34" s="11"/>
      <c r="C34" s="2"/>
      <c r="D34" s="100" t="s">
        <v>9</v>
      </c>
      <c r="E34" s="51">
        <f>E33/E8</f>
        <v>16171.631818181819</v>
      </c>
      <c r="F34" s="64">
        <f>F33/F8</f>
        <v>16666.5</v>
      </c>
      <c r="G34" s="51">
        <f>G33/G8</f>
        <v>15958.009090909092</v>
      </c>
      <c r="H34" s="79">
        <f>SUM(E33:G33)/SUM(E8:G8)</f>
        <v>16252.845312500001</v>
      </c>
      <c r="I34" s="64">
        <f>I33/I8</f>
        <v>16679.329999999998</v>
      </c>
      <c r="J34" s="64">
        <f>J33/J8</f>
        <v>15804.033333333335</v>
      </c>
      <c r="K34" s="64">
        <f>K33/K8</f>
        <v>16936.715</v>
      </c>
      <c r="L34" s="79">
        <f>SUM(I33:K33)/SUM(I8:K8)</f>
        <v>16462.386885245902</v>
      </c>
      <c r="M34" s="64">
        <f>M33/M8</f>
        <v>16542.399999999998</v>
      </c>
      <c r="N34" s="64">
        <f>N33/N8</f>
        <v>17092.404545454545</v>
      </c>
      <c r="O34" s="64">
        <f>O33/O8</f>
        <v>15761.41</v>
      </c>
      <c r="P34" s="79">
        <f>SUM(M33:O33)/SUM(M8:O8)</f>
        <v>16487.404687499999</v>
      </c>
      <c r="Q34" s="64">
        <f>Q33/Q8</f>
        <v>18182.113043478261</v>
      </c>
      <c r="R34" s="64">
        <f>R33/R8</f>
        <v>17110.8</v>
      </c>
      <c r="S34" s="64">
        <f>S33/S8</f>
        <v>19965.936842105264</v>
      </c>
      <c r="T34" s="79">
        <f>SUM(Q33:S33)/SUM(Q8:S8)</f>
        <v>18362.987301587302</v>
      </c>
      <c r="U34" s="171" t="s">
        <v>11</v>
      </c>
      <c r="V34" s="172">
        <f>U33/U8</f>
        <v>16890.673809523807</v>
      </c>
    </row>
    <row r="35" spans="1:22" ht="30" customHeight="1" thickBot="1" x14ac:dyDescent="0.3">
      <c r="A35" s="111"/>
      <c r="B35" s="13"/>
      <c r="C35" s="14" t="s">
        <v>10</v>
      </c>
      <c r="D35" s="101"/>
      <c r="E35" s="53">
        <v>0.91800000000000004</v>
      </c>
      <c r="F35" s="66">
        <v>0.92400000000000004</v>
      </c>
      <c r="G35" s="53">
        <v>0.92200000000000004</v>
      </c>
      <c r="H35" s="83">
        <f t="shared" si="4"/>
        <v>0.92133333333333345</v>
      </c>
      <c r="I35" s="66">
        <v>0.92500000000000004</v>
      </c>
      <c r="J35" s="66">
        <v>0.92300000000000004</v>
      </c>
      <c r="K35" s="66">
        <v>0.93100000000000005</v>
      </c>
      <c r="L35" s="83">
        <f>AVERAGE(I35:K35)</f>
        <v>0.92633333333333334</v>
      </c>
      <c r="M35" s="66">
        <v>0.93500000000000005</v>
      </c>
      <c r="N35" s="66">
        <v>0.94</v>
      </c>
      <c r="O35" s="66">
        <v>0.93799999999999994</v>
      </c>
      <c r="P35" s="83">
        <f>AVERAGE(M35:O35)</f>
        <v>0.93766666666666654</v>
      </c>
      <c r="Q35" s="66">
        <v>0.94699999999999995</v>
      </c>
      <c r="R35" s="84">
        <v>0.94599999999999995</v>
      </c>
      <c r="S35" s="84">
        <v>0.94599999999999995</v>
      </c>
      <c r="T35" s="83">
        <f>AVERAGE(Q35:S35)</f>
        <v>0.94633333333333314</v>
      </c>
      <c r="U35" s="174" t="s">
        <v>11</v>
      </c>
      <c r="V35" s="175">
        <f>+U33/U16</f>
        <v>0.93322645920825942</v>
      </c>
    </row>
    <row r="36" spans="1:22" ht="30" customHeight="1" thickTop="1" x14ac:dyDescent="0.25">
      <c r="A36" s="104" t="s">
        <v>39</v>
      </c>
      <c r="B36" s="113" t="s">
        <v>35</v>
      </c>
      <c r="C36" s="177" t="s">
        <v>18</v>
      </c>
      <c r="D36" s="97"/>
      <c r="E36" s="178">
        <v>2377</v>
      </c>
      <c r="F36" s="179">
        <v>2372</v>
      </c>
      <c r="G36" s="178">
        <v>2379</v>
      </c>
      <c r="H36" s="180">
        <f>AVERAGE(E36:G36)</f>
        <v>2376</v>
      </c>
      <c r="I36" s="179">
        <v>2378</v>
      </c>
      <c r="J36" s="179">
        <v>2374</v>
      </c>
      <c r="K36" s="179">
        <v>2363</v>
      </c>
      <c r="L36" s="180">
        <f>AVERAGE(I36:K36)</f>
        <v>2371.6666666666665</v>
      </c>
      <c r="M36" s="179">
        <v>2356</v>
      </c>
      <c r="N36" s="179">
        <v>2350</v>
      </c>
      <c r="O36" s="179">
        <v>2352</v>
      </c>
      <c r="P36" s="180">
        <f>AVERAGE(M36:O36)</f>
        <v>2352.6666666666665</v>
      </c>
      <c r="Q36" s="179">
        <v>2349</v>
      </c>
      <c r="R36" s="179">
        <v>2352</v>
      </c>
      <c r="S36" s="179">
        <v>2352</v>
      </c>
      <c r="T36" s="180">
        <f>AVERAGE(Q36:S36)</f>
        <v>2351</v>
      </c>
      <c r="U36" s="181" t="s">
        <v>11</v>
      </c>
      <c r="V36" s="182">
        <f>AVERAGE(E36:G36,I36:K36,M36:O36,Q36:S36)</f>
        <v>2362.8333333333335</v>
      </c>
    </row>
    <row r="37" spans="1:22" ht="30" customHeight="1" x14ac:dyDescent="0.25">
      <c r="A37" s="105"/>
      <c r="B37" s="11"/>
      <c r="C37" s="119" t="s">
        <v>19</v>
      </c>
      <c r="D37" s="120" t="s">
        <v>16</v>
      </c>
      <c r="E37" s="121">
        <v>26875.1</v>
      </c>
      <c r="F37" s="122">
        <v>23833.8</v>
      </c>
      <c r="G37" s="121">
        <v>26314.400000000001</v>
      </c>
      <c r="H37" s="123">
        <f>AVERAGE(E37:G37)</f>
        <v>25674.433333333331</v>
      </c>
      <c r="I37" s="122">
        <v>23211.599999999999</v>
      </c>
      <c r="J37" s="122">
        <v>23185.9</v>
      </c>
      <c r="K37" s="122">
        <v>21233.200000000001</v>
      </c>
      <c r="L37" s="123">
        <f>AVERAGE(I37:K37)</f>
        <v>22543.566666666666</v>
      </c>
      <c r="M37" s="122">
        <v>21786.2</v>
      </c>
      <c r="N37" s="122">
        <v>19209</v>
      </c>
      <c r="O37" s="122">
        <v>16779.099999999999</v>
      </c>
      <c r="P37" s="123">
        <f>AVERAGE(M37:O37)</f>
        <v>19258.099999999999</v>
      </c>
      <c r="Q37" s="122">
        <v>18289.099999999999</v>
      </c>
      <c r="R37" s="122">
        <v>15205</v>
      </c>
      <c r="S37" s="122">
        <v>13414.5</v>
      </c>
      <c r="T37" s="123">
        <f>AVERAGE(Q37:S37)</f>
        <v>15636.199999999999</v>
      </c>
      <c r="U37" s="169">
        <f>+S37+R37+Q37+O37+N37+M37+K37+J37+I37+G37+F37+E37</f>
        <v>249336.9</v>
      </c>
      <c r="V37" s="170">
        <f>+U37/12</f>
        <v>20778.075000000001</v>
      </c>
    </row>
    <row r="38" spans="1:22" ht="30" customHeight="1" x14ac:dyDescent="0.25">
      <c r="A38" s="105"/>
      <c r="B38" s="11"/>
      <c r="C38" s="1" t="s">
        <v>20</v>
      </c>
      <c r="D38" s="100" t="s">
        <v>16</v>
      </c>
      <c r="E38" s="51">
        <f>E37/E24</f>
        <v>0.591880161175801</v>
      </c>
      <c r="F38" s="64">
        <f>F37/F24</f>
        <v>0.57029438578104474</v>
      </c>
      <c r="G38" s="51">
        <f>G37/G24</f>
        <v>0.5693429677778935</v>
      </c>
      <c r="H38" s="79">
        <f>SUM(E37:G37)/SUM(E24:G24)</f>
        <v>0.57731114500809522</v>
      </c>
      <c r="I38" s="64">
        <f>I37/I24</f>
        <v>0.53774247131349773</v>
      </c>
      <c r="J38" s="64">
        <f>J37/J24</f>
        <v>0.52586492747496194</v>
      </c>
      <c r="K38" s="64">
        <f>K37/K24</f>
        <v>0.50126501355194608</v>
      </c>
      <c r="L38" s="79">
        <f>SUM(I37:K37)/SUM(I24:K24)</f>
        <v>0.52178098680007279</v>
      </c>
      <c r="M38" s="64">
        <f>M37/M24</f>
        <v>0.48964574839640579</v>
      </c>
      <c r="N38" s="64">
        <f>N37/N24</f>
        <v>0.46078008059873343</v>
      </c>
      <c r="O38" s="64">
        <f>O37/O24</f>
        <v>0.43258147431055233</v>
      </c>
      <c r="P38" s="79">
        <f>SUM(M37:O37)/SUM(M24:O24)</f>
        <v>0.46230498335201775</v>
      </c>
      <c r="Q38" s="64">
        <f>Q37/Q24</f>
        <v>0.40774190384040876</v>
      </c>
      <c r="R38" s="64">
        <f>R37/R24</f>
        <v>0.36931424865621104</v>
      </c>
      <c r="S38" s="64">
        <f>S37/S24</f>
        <v>0.32917160503824322</v>
      </c>
      <c r="T38" s="79">
        <f>SUM(Q37:S37)/SUM(Q24:S24)</f>
        <v>0.3700064206824854</v>
      </c>
      <c r="U38" s="171" t="s">
        <v>11</v>
      </c>
      <c r="V38" s="172">
        <f>U37/U24</f>
        <v>0.48435592875811567</v>
      </c>
    </row>
    <row r="39" spans="1:22" ht="30" customHeight="1" x14ac:dyDescent="0.25">
      <c r="A39" s="105"/>
      <c r="B39" s="11"/>
      <c r="C39" s="1" t="s">
        <v>21</v>
      </c>
      <c r="D39" s="100"/>
      <c r="E39" s="52">
        <f>E37/E30</f>
        <v>30.821836114456101</v>
      </c>
      <c r="F39" s="65">
        <f>F37/F30</f>
        <v>25.79429542367653</v>
      </c>
      <c r="G39" s="52">
        <f>G37/G30</f>
        <v>28.265213655183192</v>
      </c>
      <c r="H39" s="80">
        <f>AVERAGE(E39:G39)</f>
        <v>28.293781731105273</v>
      </c>
      <c r="I39" s="65">
        <f>I37/I30</f>
        <v>22.669349167903739</v>
      </c>
      <c r="J39" s="65">
        <f>J37/J30</f>
        <v>22.685416501656317</v>
      </c>
      <c r="K39" s="65">
        <f>K37/K30</f>
        <v>19.687349330564107</v>
      </c>
      <c r="L39" s="80">
        <f>AVERAGE(I39:K39)</f>
        <v>21.680705000041385</v>
      </c>
      <c r="M39" s="65">
        <v>0.48399999999999999</v>
      </c>
      <c r="N39" s="65">
        <v>0.45500000000000002</v>
      </c>
      <c r="O39" s="65">
        <v>0.42799999999999999</v>
      </c>
      <c r="P39" s="80">
        <f>AVERAGE(M39:O39)</f>
        <v>0.45566666666666666</v>
      </c>
      <c r="Q39" s="65">
        <v>0.40400000000000003</v>
      </c>
      <c r="R39" s="81">
        <v>0.36599999999999999</v>
      </c>
      <c r="S39" s="81">
        <v>0.32600000000000001</v>
      </c>
      <c r="T39" s="80">
        <f>AVERAGE(Q39:S39)</f>
        <v>0.36533333333333334</v>
      </c>
      <c r="U39" s="171" t="s">
        <v>11</v>
      </c>
      <c r="V39" s="173" t="e">
        <f>+U37/U30</f>
        <v>#VALUE!</v>
      </c>
    </row>
    <row r="40" spans="1:22" ht="30" customHeight="1" x14ac:dyDescent="0.25">
      <c r="A40" s="105"/>
      <c r="B40" s="11"/>
      <c r="C40" s="12" t="s">
        <v>22</v>
      </c>
      <c r="D40" s="98" t="s">
        <v>23</v>
      </c>
      <c r="E40" s="49">
        <f>E41/E37</f>
        <v>1.1896551082600624</v>
      </c>
      <c r="F40" s="62">
        <f>F41/F37</f>
        <v>1.1430111857949634</v>
      </c>
      <c r="G40" s="49">
        <f>G41/G37</f>
        <v>1.1334858480527772</v>
      </c>
      <c r="H40" s="77">
        <f>AVERAGE(E40:G40)</f>
        <v>1.1553840473692676</v>
      </c>
      <c r="I40" s="62">
        <v>1.2</v>
      </c>
      <c r="J40" s="62">
        <v>1.2</v>
      </c>
      <c r="K40" s="62">
        <v>1.2</v>
      </c>
      <c r="L40" s="77">
        <f>SUM(I41:K41)/SUM(I37:K37)</f>
        <v>1.1779118063246425</v>
      </c>
      <c r="M40" s="62">
        <v>1.2</v>
      </c>
      <c r="N40" s="62">
        <v>1.3</v>
      </c>
      <c r="O40" s="62">
        <v>1.2</v>
      </c>
      <c r="P40" s="77">
        <f>SUM(M41:O41)/SUM(M37:O37)</f>
        <v>1.2123262419449476</v>
      </c>
      <c r="Q40" s="82">
        <v>1.3</v>
      </c>
      <c r="R40" s="62">
        <v>1.4</v>
      </c>
      <c r="S40" s="62">
        <v>1.6</v>
      </c>
      <c r="T40" s="85">
        <f>SUM(Q41:S41)/SUM(Q37:S37)</f>
        <v>1.4029197204776949</v>
      </c>
      <c r="U40" s="159" t="s">
        <v>11</v>
      </c>
      <c r="V40" s="160">
        <f>AVERAGE(E40:G40,I40:K40,M40:O40,Q40:S40)</f>
        <v>1.2555126785089836</v>
      </c>
    </row>
    <row r="41" spans="1:22" ht="30" customHeight="1" x14ac:dyDescent="0.25">
      <c r="A41" s="105"/>
      <c r="B41" s="11"/>
      <c r="C41" s="119" t="s">
        <v>8</v>
      </c>
      <c r="D41" s="120" t="s">
        <v>9</v>
      </c>
      <c r="E41" s="121">
        <v>31972.1</v>
      </c>
      <c r="F41" s="122">
        <v>27242.3</v>
      </c>
      <c r="G41" s="121">
        <v>29827</v>
      </c>
      <c r="H41" s="123">
        <f>AVERAGE(E41:G41)</f>
        <v>29680.466666666664</v>
      </c>
      <c r="I41" s="122">
        <v>27078.1</v>
      </c>
      <c r="J41" s="122">
        <v>27524.1</v>
      </c>
      <c r="K41" s="122">
        <v>25060.799999999999</v>
      </c>
      <c r="L41" s="123">
        <f>AVERAGE(I41:K41)</f>
        <v>26554.333333333332</v>
      </c>
      <c r="M41" s="122">
        <v>25215.7</v>
      </c>
      <c r="N41" s="122">
        <v>24107.5</v>
      </c>
      <c r="O41" s="122">
        <v>20718.099999999999</v>
      </c>
      <c r="P41" s="123">
        <f>AVERAGE(M41:O41)</f>
        <v>23347.099999999995</v>
      </c>
      <c r="Q41" s="122">
        <v>23595.200000000001</v>
      </c>
      <c r="R41" s="122">
        <v>20604.599999999999</v>
      </c>
      <c r="S41" s="122">
        <v>21609.200000000001</v>
      </c>
      <c r="T41" s="123">
        <f>AVERAGE(Q41:S41)</f>
        <v>21936.333333333332</v>
      </c>
      <c r="U41" s="169">
        <f>+S41+R41+Q41+O41+N41+M41+K41+J41+I41+G41+F41+E41</f>
        <v>304554.7</v>
      </c>
      <c r="V41" s="170">
        <f>+U41/12</f>
        <v>25379.558333333334</v>
      </c>
    </row>
    <row r="42" spans="1:22" ht="30" customHeight="1" x14ac:dyDescent="0.25">
      <c r="A42" s="105"/>
      <c r="B42" s="11"/>
      <c r="C42" s="1" t="s">
        <v>20</v>
      </c>
      <c r="D42" s="100" t="s">
        <v>9</v>
      </c>
      <c r="E42" s="51">
        <f>E41/E24</f>
        <v>0.70413325722058073</v>
      </c>
      <c r="F42" s="64">
        <f>F41/F24</f>
        <v>0.65185286214380234</v>
      </c>
      <c r="G42" s="51">
        <f>G41/G24</f>
        <v>0.64534219666461057</v>
      </c>
      <c r="H42" s="79">
        <f>SUM(E41:G41)/SUM(E24:G24)</f>
        <v>0.66739016099185322</v>
      </c>
      <c r="I42" s="64">
        <f>I41/I24</f>
        <v>0.62731756589265808</v>
      </c>
      <c r="J42" s="64">
        <f>J41/J24</f>
        <v>0.62425693418472428</v>
      </c>
      <c r="K42" s="64">
        <f>K41/K24</f>
        <v>0.59162548516580682</v>
      </c>
      <c r="L42" s="79">
        <f>SUM(I41:K41)/SUM(I24:K24)</f>
        <v>0.61461198466752831</v>
      </c>
      <c r="M42" s="64">
        <f>M41/M24</f>
        <v>0.56672390310560117</v>
      </c>
      <c r="N42" s="64">
        <f>N41/N24</f>
        <v>0.57828391863365958</v>
      </c>
      <c r="O42" s="64">
        <f>O41/O24</f>
        <v>0.53413271527754491</v>
      </c>
      <c r="P42" s="79">
        <f>SUM(M41:O41)/SUM(M24:O24)</f>
        <v>0.56046446309957332</v>
      </c>
      <c r="Q42" s="64">
        <f>Q41/Q24</f>
        <v>0.52603746327021095</v>
      </c>
      <c r="R42" s="64">
        <f>R41/R24</f>
        <v>0.50046513435460482</v>
      </c>
      <c r="S42" s="64">
        <f>S41/S24</f>
        <v>0.5302571879378587</v>
      </c>
      <c r="T42" s="79">
        <f>SUM(Q41:S41)/SUM(Q24:S24)</f>
        <v>0.51908930427882483</v>
      </c>
      <c r="U42" s="171" t="s">
        <v>11</v>
      </c>
      <c r="V42" s="172">
        <f>U41/U24</f>
        <v>0.59162071308398112</v>
      </c>
    </row>
    <row r="43" spans="1:22" ht="30" customHeight="1" thickBot="1" x14ac:dyDescent="0.3">
      <c r="A43" s="106"/>
      <c r="B43" s="13"/>
      <c r="C43" s="14" t="s">
        <v>10</v>
      </c>
      <c r="D43" s="101"/>
      <c r="E43" s="53">
        <v>8.2000000000000003E-2</v>
      </c>
      <c r="F43" s="66">
        <v>7.5999999999999998E-2</v>
      </c>
      <c r="G43" s="53">
        <v>7.8E-2</v>
      </c>
      <c r="H43" s="83">
        <f>AVERAGE(E43:G43)</f>
        <v>7.8666666666666663E-2</v>
      </c>
      <c r="I43" s="66">
        <v>7.4999999999999997E-2</v>
      </c>
      <c r="J43" s="66">
        <v>7.6999999999999999E-2</v>
      </c>
      <c r="K43" s="66">
        <v>6.9000000000000006E-2</v>
      </c>
      <c r="L43" s="83">
        <f>AVERAGE(I43:K43)</f>
        <v>7.3666666666666672E-2</v>
      </c>
      <c r="M43" s="66">
        <v>6.5000000000000002E-2</v>
      </c>
      <c r="N43" s="66">
        <v>0.06</v>
      </c>
      <c r="O43" s="66">
        <v>6.2E-2</v>
      </c>
      <c r="P43" s="83">
        <f>AVERAGE(M43:O43)</f>
        <v>6.2333333333333331E-2</v>
      </c>
      <c r="Q43" s="66">
        <v>5.2999999999999999E-2</v>
      </c>
      <c r="R43" s="84">
        <v>5.3999999999999999E-2</v>
      </c>
      <c r="S43" s="84">
        <v>5.3999999999999999E-2</v>
      </c>
      <c r="T43" s="83">
        <f>AVERAGE(Q43:S43)</f>
        <v>5.3666666666666668E-2</v>
      </c>
      <c r="U43" s="174" t="s">
        <v>11</v>
      </c>
      <c r="V43" s="175" t="e">
        <f>+U41/#REF!</f>
        <v>#REF!</v>
      </c>
    </row>
    <row r="44" spans="1:22" ht="12" thickTop="1" x14ac:dyDescent="0.25"/>
  </sheetData>
  <mergeCells count="5">
    <mergeCell ref="B14:B15"/>
    <mergeCell ref="B6:C7"/>
    <mergeCell ref="B8:C8"/>
    <mergeCell ref="B9:C9"/>
    <mergeCell ref="B12:B13"/>
  </mergeCells>
  <phoneticPr fontId="16" type="noConversion"/>
  <printOptions horizontalCentered="1"/>
  <pageMargins left="0" right="0" top="0" bottom="0.39370078740157483" header="0.51181102362204722" footer="0"/>
  <pageSetup paperSize="9" scale="46" orientation="landscape" horizontalDpi="4294967293" r:id="rId1"/>
  <headerFooter alignWithMargins="0">
    <oddFooter>&amp;LOpr.WSS - na podstawie danych KIR S.A.&amp;Rwww nbp.pl /  system płatniczy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X44"/>
  <sheetViews>
    <sheetView topLeftCell="A23" zoomScale="75" workbookViewId="0">
      <selection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39.296875" style="3" customWidth="1"/>
    <col min="4" max="4" width="9.09765625" style="3"/>
    <col min="5" max="7" width="14.09765625" style="3" customWidth="1"/>
    <col min="8" max="8" width="16" style="3" customWidth="1"/>
    <col min="9" max="11" width="13.69921875" style="3" customWidth="1"/>
    <col min="12" max="12" width="16" style="3" customWidth="1"/>
    <col min="13" max="15" width="13.8984375" style="3" customWidth="1"/>
    <col min="16" max="16" width="16" style="3" customWidth="1"/>
    <col min="17" max="19" width="15.3984375" style="3" customWidth="1"/>
    <col min="20" max="20" width="16" style="3" customWidth="1"/>
    <col min="21" max="21" width="17.296875" style="3" customWidth="1"/>
    <col min="22" max="22" width="18" style="3" customWidth="1"/>
    <col min="23" max="23" width="8.8984375" style="3" customWidth="1"/>
    <col min="24" max="16384" width="9.09765625" style="3"/>
  </cols>
  <sheetData>
    <row r="1" spans="1:22" ht="17.5" x14ac:dyDescent="0.35">
      <c r="A1" s="18" t="s">
        <v>41</v>
      </c>
      <c r="B1" s="18"/>
      <c r="C1" s="18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8"/>
    </row>
    <row r="2" spans="1:22" ht="17.5" x14ac:dyDescent="0.35">
      <c r="A2" s="18" t="s">
        <v>0</v>
      </c>
      <c r="B2" s="18"/>
      <c r="C2" s="18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</row>
    <row r="3" spans="1:22" ht="39" customHeight="1" x14ac:dyDescent="0.4">
      <c r="A3" s="4" t="s">
        <v>42</v>
      </c>
      <c r="B3" s="4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134" customFormat="1" ht="18.75" customHeight="1" x14ac:dyDescent="0.25">
      <c r="A4" s="131" t="s">
        <v>44</v>
      </c>
      <c r="B4" s="1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2" ht="42" customHeight="1" thickBot="1" x14ac:dyDescent="0.45">
      <c r="A5" s="7" t="s">
        <v>51</v>
      </c>
      <c r="B5" s="4"/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42" customHeight="1" thickTop="1" thickBot="1" x14ac:dyDescent="0.45">
      <c r="A6" s="112" t="s">
        <v>1</v>
      </c>
      <c r="B6" s="993" t="s">
        <v>2</v>
      </c>
      <c r="C6" s="993"/>
      <c r="D6" s="88" t="s">
        <v>3</v>
      </c>
      <c r="E6" s="142" t="s">
        <v>83</v>
      </c>
      <c r="F6" s="143" t="s">
        <v>84</v>
      </c>
      <c r="G6" s="142" t="s">
        <v>85</v>
      </c>
      <c r="H6" s="144" t="s">
        <v>54</v>
      </c>
      <c r="I6" s="143" t="s">
        <v>86</v>
      </c>
      <c r="J6" s="143" t="s">
        <v>87</v>
      </c>
      <c r="K6" s="143" t="s">
        <v>88</v>
      </c>
      <c r="L6" s="144" t="s">
        <v>55</v>
      </c>
      <c r="M6" s="143" t="s">
        <v>89</v>
      </c>
      <c r="N6" s="143" t="s">
        <v>90</v>
      </c>
      <c r="O6" s="143" t="s">
        <v>91</v>
      </c>
      <c r="P6" s="144" t="s">
        <v>56</v>
      </c>
      <c r="Q6" s="143" t="s">
        <v>92</v>
      </c>
      <c r="R6" s="143" t="s">
        <v>93</v>
      </c>
      <c r="S6" s="143" t="s">
        <v>94</v>
      </c>
      <c r="T6" s="144" t="s">
        <v>57</v>
      </c>
      <c r="U6" s="34" t="s">
        <v>46</v>
      </c>
      <c r="V6" s="145" t="s">
        <v>58</v>
      </c>
    </row>
    <row r="7" spans="1:22" ht="44.25" customHeight="1" thickTop="1" thickBot="1" x14ac:dyDescent="0.4">
      <c r="A7" s="102"/>
      <c r="B7" s="993"/>
      <c r="C7" s="993"/>
      <c r="D7" s="89" t="s">
        <v>4</v>
      </c>
      <c r="E7" s="16"/>
      <c r="F7" s="54"/>
      <c r="G7" s="16"/>
      <c r="H7" s="136" t="s">
        <v>45</v>
      </c>
      <c r="I7" s="137"/>
      <c r="J7" s="137"/>
      <c r="K7" s="137"/>
      <c r="L7" s="136" t="s">
        <v>45</v>
      </c>
      <c r="M7" s="137"/>
      <c r="N7" s="137"/>
      <c r="O7" s="137"/>
      <c r="P7" s="136" t="s">
        <v>45</v>
      </c>
      <c r="Q7" s="137"/>
      <c r="R7" s="137"/>
      <c r="S7" s="137"/>
      <c r="T7" s="136" t="s">
        <v>45</v>
      </c>
      <c r="U7" s="35" t="s">
        <v>53</v>
      </c>
      <c r="V7" s="19" t="s">
        <v>53</v>
      </c>
    </row>
    <row r="8" spans="1:22" ht="30" customHeight="1" thickTop="1" thickBot="1" x14ac:dyDescent="0.3">
      <c r="A8" s="103" t="s">
        <v>5</v>
      </c>
      <c r="B8" s="994" t="s">
        <v>6</v>
      </c>
      <c r="C8" s="994"/>
      <c r="D8" s="90"/>
      <c r="E8" s="41">
        <v>21</v>
      </c>
      <c r="F8" s="55">
        <v>21</v>
      </c>
      <c r="G8" s="41">
        <v>23</v>
      </c>
      <c r="H8" s="67">
        <f t="shared" ref="H8:H15" si="0">AVERAGE(E8:G8)</f>
        <v>21.666666666666668</v>
      </c>
      <c r="I8" s="55">
        <v>19</v>
      </c>
      <c r="J8" s="55">
        <v>21</v>
      </c>
      <c r="K8" s="55">
        <v>21</v>
      </c>
      <c r="L8" s="67">
        <f t="shared" ref="L8:L16" si="1">AVERAGE(I8:K8)</f>
        <v>20.333333333333332</v>
      </c>
      <c r="M8" s="55">
        <v>21</v>
      </c>
      <c r="N8" s="55">
        <v>22</v>
      </c>
      <c r="O8" s="55">
        <v>21</v>
      </c>
      <c r="P8" s="67">
        <f t="shared" ref="P8:P16" si="2">AVERAGE(M8:O8)</f>
        <v>21.333333333333332</v>
      </c>
      <c r="Q8" s="55">
        <v>22</v>
      </c>
      <c r="R8" s="55">
        <v>21</v>
      </c>
      <c r="S8" s="55">
        <v>19</v>
      </c>
      <c r="T8" s="67">
        <f t="shared" ref="T8:T16" si="3">AVERAGE(Q8:S8)</f>
        <v>20.666666666666668</v>
      </c>
      <c r="U8" s="39">
        <f>SUM(E8:G8,I8:K8,M8:O8,Q8:S8)</f>
        <v>252</v>
      </c>
      <c r="V8" s="40">
        <f>AVERAGE(E8:G8,I8:K8,M8:O8,Q8:S8)</f>
        <v>21</v>
      </c>
    </row>
    <row r="9" spans="1:22" ht="30" customHeight="1" thickTop="1" thickBot="1" x14ac:dyDescent="0.3">
      <c r="A9" s="103" t="s">
        <v>7</v>
      </c>
      <c r="B9" s="994" t="s">
        <v>48</v>
      </c>
      <c r="C9" s="994"/>
      <c r="D9" s="90"/>
      <c r="E9" s="41">
        <v>66</v>
      </c>
      <c r="F9" s="55">
        <v>67</v>
      </c>
      <c r="G9" s="41">
        <v>67</v>
      </c>
      <c r="H9" s="67">
        <f t="shared" si="0"/>
        <v>66.666666666666671</v>
      </c>
      <c r="I9" s="55">
        <v>67</v>
      </c>
      <c r="J9" s="55">
        <v>66</v>
      </c>
      <c r="K9" s="55">
        <v>66</v>
      </c>
      <c r="L9" s="67">
        <f t="shared" si="1"/>
        <v>66.333333333333329</v>
      </c>
      <c r="M9" s="55">
        <v>66</v>
      </c>
      <c r="N9" s="55">
        <v>66</v>
      </c>
      <c r="O9" s="55">
        <v>67</v>
      </c>
      <c r="P9" s="67">
        <f t="shared" si="2"/>
        <v>66.333333333333329</v>
      </c>
      <c r="Q9" s="55">
        <v>67</v>
      </c>
      <c r="R9" s="55">
        <v>66</v>
      </c>
      <c r="S9" s="55">
        <v>66</v>
      </c>
      <c r="T9" s="67">
        <f t="shared" si="3"/>
        <v>66.333333333333329</v>
      </c>
      <c r="U9" s="36" t="s">
        <v>11</v>
      </c>
      <c r="V9" s="40">
        <f>AVERAGE(E9:G9,I9:K9,M9:O9,Q9:S9)</f>
        <v>66.416666666666671</v>
      </c>
    </row>
    <row r="10" spans="1:22" ht="30" customHeight="1" thickTop="1" x14ac:dyDescent="0.35">
      <c r="A10" s="104" t="s">
        <v>12</v>
      </c>
      <c r="B10" s="129" t="s">
        <v>27</v>
      </c>
      <c r="C10" s="30" t="s">
        <v>8</v>
      </c>
      <c r="D10" s="91" t="s">
        <v>9</v>
      </c>
      <c r="E10" s="42">
        <v>78518.3</v>
      </c>
      <c r="F10" s="56">
        <v>80068.100000000006</v>
      </c>
      <c r="G10" s="42">
        <v>92247</v>
      </c>
      <c r="H10" s="68">
        <f>AVERAGE(E10:G10)</f>
        <v>83611.133333333346</v>
      </c>
      <c r="I10" s="56">
        <v>79436.800000000003</v>
      </c>
      <c r="J10" s="56">
        <v>89101.9</v>
      </c>
      <c r="K10" s="56">
        <v>86774</v>
      </c>
      <c r="L10" s="68">
        <f t="shared" si="1"/>
        <v>85104.233333333337</v>
      </c>
      <c r="M10" s="56">
        <v>90777</v>
      </c>
      <c r="N10" s="56">
        <v>88028.1</v>
      </c>
      <c r="O10" s="56">
        <v>89415.1</v>
      </c>
      <c r="P10" s="68">
        <f t="shared" si="2"/>
        <v>89406.733333333337</v>
      </c>
      <c r="Q10" s="56">
        <v>101403.1</v>
      </c>
      <c r="R10" s="56">
        <v>96451</v>
      </c>
      <c r="S10" s="56">
        <v>99097.1</v>
      </c>
      <c r="T10" s="68">
        <f t="shared" si="3"/>
        <v>98983.733333333337</v>
      </c>
      <c r="U10" s="146">
        <f>+S10+R10+Q10+O10+N10+M10+K10+J10+I10+G10+F10+E10</f>
        <v>1071317.5</v>
      </c>
      <c r="V10" s="147">
        <f>+U10/12</f>
        <v>89276.458333333328</v>
      </c>
    </row>
    <row r="11" spans="1:22" ht="30" customHeight="1" x14ac:dyDescent="0.25">
      <c r="A11" s="105"/>
      <c r="B11" s="130" t="s">
        <v>28</v>
      </c>
      <c r="C11" s="21" t="s">
        <v>10</v>
      </c>
      <c r="D11" s="92"/>
      <c r="E11" s="43">
        <v>0.316</v>
      </c>
      <c r="F11" s="57">
        <v>0.28999999999999998</v>
      </c>
      <c r="G11" s="44">
        <v>0.311</v>
      </c>
      <c r="H11" s="69">
        <f>SUM(E10:G10)/SUM(E16:G16)</f>
        <v>0.30537131153149127</v>
      </c>
      <c r="I11" s="57">
        <v>0.29399999999999998</v>
      </c>
      <c r="J11" s="57">
        <v>0.29099999999999998</v>
      </c>
      <c r="K11" s="57">
        <v>0.3</v>
      </c>
      <c r="L11" s="69">
        <f>SUM(I10:K10)/SUM(I16:K16)</f>
        <v>0.29510501424709545</v>
      </c>
      <c r="M11" s="57">
        <v>0.27400000000000002</v>
      </c>
      <c r="N11" s="57">
        <v>0.26</v>
      </c>
      <c r="O11" s="57">
        <v>0.255</v>
      </c>
      <c r="P11" s="69">
        <f>SUM(M10:O10)/SUM(M16:O16)</f>
        <v>0.26309678476193843</v>
      </c>
      <c r="Q11" s="57">
        <v>0.25800000000000001</v>
      </c>
      <c r="R11" s="70">
        <v>0.254</v>
      </c>
      <c r="S11" s="70">
        <v>0.27500000000000002</v>
      </c>
      <c r="T11" s="69">
        <f>SUM(Q10:S10)/SUM(Q16:S16)</f>
        <v>0.26207883320627334</v>
      </c>
      <c r="U11" s="148" t="s">
        <v>11</v>
      </c>
      <c r="V11" s="149">
        <f>U10/U16</f>
        <v>0.27905451737029341</v>
      </c>
    </row>
    <row r="12" spans="1:22" ht="30" customHeight="1" x14ac:dyDescent="0.35">
      <c r="A12" s="105"/>
      <c r="B12" s="991" t="s">
        <v>29</v>
      </c>
      <c r="C12" s="24" t="s">
        <v>8</v>
      </c>
      <c r="D12" s="93" t="s">
        <v>9</v>
      </c>
      <c r="E12" s="45">
        <v>145390.9</v>
      </c>
      <c r="F12" s="58">
        <v>172549.5</v>
      </c>
      <c r="G12" s="45">
        <v>179215.3</v>
      </c>
      <c r="H12" s="71">
        <f t="shared" si="0"/>
        <v>165718.56666666668</v>
      </c>
      <c r="I12" s="58">
        <v>166150.1</v>
      </c>
      <c r="J12" s="58">
        <v>190443.1</v>
      </c>
      <c r="K12" s="58">
        <v>174250.3</v>
      </c>
      <c r="L12" s="71">
        <f t="shared" si="1"/>
        <v>176947.83333333334</v>
      </c>
      <c r="M12" s="58">
        <v>212802.8</v>
      </c>
      <c r="N12" s="58">
        <v>220439</v>
      </c>
      <c r="O12" s="58">
        <v>237331.1</v>
      </c>
      <c r="P12" s="71">
        <f t="shared" si="2"/>
        <v>223524.30000000002</v>
      </c>
      <c r="Q12" s="58">
        <v>260828.9</v>
      </c>
      <c r="R12" s="58">
        <v>255056</v>
      </c>
      <c r="S12" s="58">
        <v>230451.8</v>
      </c>
      <c r="T12" s="71">
        <f t="shared" si="3"/>
        <v>248778.9</v>
      </c>
      <c r="U12" s="150">
        <f>+S12+R12+Q12+O12+N12+M12+K12+J12+I12+G12+F12+E12</f>
        <v>2444908.7999999998</v>
      </c>
      <c r="V12" s="151">
        <f>+U12/12</f>
        <v>203742.4</v>
      </c>
    </row>
    <row r="13" spans="1:22" ht="30" customHeight="1" x14ac:dyDescent="0.25">
      <c r="A13" s="105"/>
      <c r="B13" s="991"/>
      <c r="C13" s="22" t="s">
        <v>10</v>
      </c>
      <c r="D13" s="94"/>
      <c r="E13" s="46">
        <v>0.58599999999999997</v>
      </c>
      <c r="F13" s="59">
        <v>0.625</v>
      </c>
      <c r="G13" s="46">
        <v>0.60399999999999998</v>
      </c>
      <c r="H13" s="72">
        <f>SUM(E12:G12)/SUM(E16:G16)</f>
        <v>0.60525068888097289</v>
      </c>
      <c r="I13" s="59">
        <v>0.61499999999999999</v>
      </c>
      <c r="J13" s="59">
        <v>0.622</v>
      </c>
      <c r="K13" s="59">
        <v>0.60299999999999998</v>
      </c>
      <c r="L13" s="72">
        <f>SUM(I12:K12)/SUM(I16:K16)</f>
        <v>0.61357926429228948</v>
      </c>
      <c r="M13" s="59">
        <v>0.64300000000000002</v>
      </c>
      <c r="N13" s="59">
        <v>0.65200000000000002</v>
      </c>
      <c r="O13" s="59">
        <v>0.67700000000000005</v>
      </c>
      <c r="P13" s="72">
        <f>SUM(M12:O12)/SUM(M16:O16)</f>
        <v>0.65776393403065403</v>
      </c>
      <c r="Q13" s="59">
        <v>0.66400000000000003</v>
      </c>
      <c r="R13" s="73">
        <v>0.67200000000000004</v>
      </c>
      <c r="S13" s="73">
        <v>0.63900000000000001</v>
      </c>
      <c r="T13" s="72">
        <f>SUM(Q12:S12)/SUM(Q16:S16)</f>
        <v>0.65869089437934736</v>
      </c>
      <c r="U13" s="152" t="s">
        <v>11</v>
      </c>
      <c r="V13" s="153">
        <f>U12/U16</f>
        <v>0.63684467508314124</v>
      </c>
    </row>
    <row r="14" spans="1:22" ht="30" customHeight="1" x14ac:dyDescent="0.35">
      <c r="A14" s="105"/>
      <c r="B14" s="991" t="s">
        <v>30</v>
      </c>
      <c r="C14" s="23" t="s">
        <v>8</v>
      </c>
      <c r="D14" s="95" t="s">
        <v>9</v>
      </c>
      <c r="E14" s="47">
        <v>24377.200000000001</v>
      </c>
      <c r="F14" s="60">
        <v>23600.3</v>
      </c>
      <c r="G14" s="47">
        <v>25437.9</v>
      </c>
      <c r="H14" s="74">
        <f t="shared" si="0"/>
        <v>24471.8</v>
      </c>
      <c r="I14" s="60">
        <v>24490.5</v>
      </c>
      <c r="J14" s="60">
        <v>26666.5</v>
      </c>
      <c r="K14" s="60">
        <v>27845.5</v>
      </c>
      <c r="L14" s="74">
        <f t="shared" si="1"/>
        <v>26334.166666666668</v>
      </c>
      <c r="M14" s="60">
        <v>27306.799999999999</v>
      </c>
      <c r="N14" s="60">
        <v>29479</v>
      </c>
      <c r="O14" s="60">
        <v>23894.6</v>
      </c>
      <c r="P14" s="74">
        <f t="shared" si="2"/>
        <v>26893.466666666664</v>
      </c>
      <c r="Q14" s="60">
        <v>30770.9</v>
      </c>
      <c r="R14" s="60">
        <v>28126.2</v>
      </c>
      <c r="S14" s="60">
        <v>30875.599999999999</v>
      </c>
      <c r="T14" s="74">
        <f t="shared" si="3"/>
        <v>29924.233333333337</v>
      </c>
      <c r="U14" s="150">
        <f>+S14+R14+Q14+O14+N14+M14+K14+J14+I14+G14+F14+E14</f>
        <v>322871</v>
      </c>
      <c r="V14" s="154">
        <f>+U14/12</f>
        <v>26905.916666666668</v>
      </c>
    </row>
    <row r="15" spans="1:22" ht="30" customHeight="1" thickBot="1" x14ac:dyDescent="0.3">
      <c r="A15" s="106"/>
      <c r="B15" s="992"/>
      <c r="C15" s="31" t="s">
        <v>10</v>
      </c>
      <c r="D15" s="96"/>
      <c r="E15" s="48">
        <v>9.8000000000000004E-2</v>
      </c>
      <c r="F15" s="61">
        <v>8.5000000000000006E-2</v>
      </c>
      <c r="G15" s="48">
        <v>8.5999999999999993E-2</v>
      </c>
      <c r="H15" s="75">
        <f t="shared" si="0"/>
        <v>8.9666666666666672E-2</v>
      </c>
      <c r="I15" s="61">
        <v>9.0999999999999998E-2</v>
      </c>
      <c r="J15" s="61">
        <v>8.6999999999999994E-2</v>
      </c>
      <c r="K15" s="61">
        <v>9.6000000000000002E-2</v>
      </c>
      <c r="L15" s="75">
        <f>SUM(I14:K14)/SUM(I16:K16)</f>
        <v>9.1315605874898342E-2</v>
      </c>
      <c r="M15" s="61">
        <v>8.3000000000000004E-2</v>
      </c>
      <c r="N15" s="61">
        <v>8.6999999999999994E-2</v>
      </c>
      <c r="O15" s="61">
        <v>6.8000000000000005E-2</v>
      </c>
      <c r="P15" s="75">
        <f>SUM(M14:O14)/SUM(M16:O16)</f>
        <v>7.9139281207407541E-2</v>
      </c>
      <c r="Q15" s="61">
        <v>7.8E-2</v>
      </c>
      <c r="R15" s="76">
        <v>7.3999999999999996E-2</v>
      </c>
      <c r="S15" s="76">
        <v>8.5999999999999993E-2</v>
      </c>
      <c r="T15" s="75">
        <f>SUM(Q14:S14)/SUM(Q16:S16)</f>
        <v>7.9230272414379257E-2</v>
      </c>
      <c r="U15" s="155" t="s">
        <v>11</v>
      </c>
      <c r="V15" s="156">
        <f>U14/U16</f>
        <v>8.4100755450988149E-2</v>
      </c>
    </row>
    <row r="16" spans="1:22" ht="30" customHeight="1" thickTop="1" x14ac:dyDescent="0.25">
      <c r="A16" s="104" t="s">
        <v>17</v>
      </c>
      <c r="B16" s="113" t="s">
        <v>13</v>
      </c>
      <c r="C16" s="114" t="s">
        <v>8</v>
      </c>
      <c r="D16" s="115" t="s">
        <v>9</v>
      </c>
      <c r="E16" s="116">
        <v>248286.4</v>
      </c>
      <c r="F16" s="117">
        <v>276218</v>
      </c>
      <c r="G16" s="116">
        <v>296900.2</v>
      </c>
      <c r="H16" s="118">
        <f>AVERAGE(E16:G16)</f>
        <v>273801.53333333338</v>
      </c>
      <c r="I16" s="117">
        <v>270077.40000000002</v>
      </c>
      <c r="J16" s="117">
        <v>306211.5</v>
      </c>
      <c r="K16" s="117">
        <v>288869.90000000002</v>
      </c>
      <c r="L16" s="118">
        <f t="shared" si="1"/>
        <v>288386.26666666666</v>
      </c>
      <c r="M16" s="117">
        <v>330886.59999999998</v>
      </c>
      <c r="N16" s="117">
        <v>337946.1</v>
      </c>
      <c r="O16" s="117">
        <v>350640.8</v>
      </c>
      <c r="P16" s="118">
        <f t="shared" si="2"/>
        <v>339824.5</v>
      </c>
      <c r="Q16" s="117">
        <v>393002.9</v>
      </c>
      <c r="R16" s="117">
        <v>379633.2</v>
      </c>
      <c r="S16" s="117">
        <v>360424.5</v>
      </c>
      <c r="T16" s="118">
        <f t="shared" si="3"/>
        <v>377686.8666666667</v>
      </c>
      <c r="U16" s="157">
        <f>+S16+R16+Q16+O16+N16+M16+K16+J16+I16+G16+F16+E16</f>
        <v>3839097.5</v>
      </c>
      <c r="V16" s="158">
        <f>+U16/12</f>
        <v>319924.79166666669</v>
      </c>
    </row>
    <row r="17" spans="1:22" ht="30" customHeight="1" x14ac:dyDescent="0.25">
      <c r="A17" s="105"/>
      <c r="B17" s="10" t="s">
        <v>14</v>
      </c>
      <c r="C17" s="12" t="s">
        <v>15</v>
      </c>
      <c r="D17" s="98" t="s">
        <v>9</v>
      </c>
      <c r="E17" s="49">
        <f>E16/E8</f>
        <v>11823.161904761904</v>
      </c>
      <c r="F17" s="62">
        <f>F16/F8</f>
        <v>13153.238095238095</v>
      </c>
      <c r="G17" s="49">
        <f>G16/G8</f>
        <v>12908.704347826088</v>
      </c>
      <c r="H17" s="77">
        <f>SUM(E16:G16)/SUM(E8:G8)</f>
        <v>12636.993846153848</v>
      </c>
      <c r="I17" s="62">
        <f>I16/I8</f>
        <v>14214.6</v>
      </c>
      <c r="J17" s="62">
        <f>J16/J8</f>
        <v>14581.5</v>
      </c>
      <c r="K17" s="62">
        <f>K16/K8</f>
        <v>13755.709523809524</v>
      </c>
      <c r="L17" s="77">
        <f>SUM(I16:K16)/SUM(I8:K8)</f>
        <v>14182.931147540985</v>
      </c>
      <c r="M17" s="62">
        <f>M16/M8</f>
        <v>15756.50476190476</v>
      </c>
      <c r="N17" s="62">
        <f>N16/N8</f>
        <v>15361.186363636363</v>
      </c>
      <c r="O17" s="62">
        <f>O16/O8</f>
        <v>16697.180952380953</v>
      </c>
      <c r="P17" s="77">
        <f>SUM(M16:O16)/SUM(M8:O8)</f>
        <v>15929.2734375</v>
      </c>
      <c r="Q17" s="62">
        <f>Q16/Q8</f>
        <v>17863.768181818185</v>
      </c>
      <c r="R17" s="62">
        <f>R16/R8</f>
        <v>18077.771428571428</v>
      </c>
      <c r="S17" s="62">
        <f>S16/S8</f>
        <v>18969.71052631579</v>
      </c>
      <c r="T17" s="77">
        <f>SUM(Q16:S16)/SUM(Q8:S8)</f>
        <v>18275.170967741939</v>
      </c>
      <c r="U17" s="159" t="s">
        <v>11</v>
      </c>
      <c r="V17" s="160">
        <f>U16/U8</f>
        <v>15234.513888888889</v>
      </c>
    </row>
    <row r="18" spans="1:22" ht="30" customHeight="1" x14ac:dyDescent="0.35">
      <c r="A18" s="107"/>
      <c r="B18" s="15" t="s">
        <v>36</v>
      </c>
      <c r="C18" s="23" t="s">
        <v>8</v>
      </c>
      <c r="D18" s="95" t="s">
        <v>9</v>
      </c>
      <c r="E18" s="47">
        <v>246486</v>
      </c>
      <c r="F18" s="60">
        <v>274747.40000000002</v>
      </c>
      <c r="G18" s="47">
        <v>295047</v>
      </c>
      <c r="H18" s="74">
        <f>AVERAGE(E18:G18)</f>
        <v>272093.46666666667</v>
      </c>
      <c r="I18" s="60">
        <v>268124.7</v>
      </c>
      <c r="J18" s="60">
        <v>304291</v>
      </c>
      <c r="K18" s="60">
        <v>287028.7</v>
      </c>
      <c r="L18" s="74">
        <f t="shared" ref="L18:L27" si="4">AVERAGE(I18:K18)</f>
        <v>286481.46666666662</v>
      </c>
      <c r="M18" s="60">
        <v>328833.5</v>
      </c>
      <c r="N18" s="60">
        <v>336076.79999999999</v>
      </c>
      <c r="O18" s="60">
        <v>348909.2</v>
      </c>
      <c r="P18" s="74">
        <f t="shared" ref="P18:P27" si="5">AVERAGE(M18:O18)</f>
        <v>337939.83333333331</v>
      </c>
      <c r="Q18" s="60">
        <v>391157.5</v>
      </c>
      <c r="R18" s="60">
        <v>377777.5</v>
      </c>
      <c r="S18" s="60">
        <v>358338</v>
      </c>
      <c r="T18" s="74">
        <f t="shared" ref="T18:T27" si="6">AVERAGE(Q18:S18)</f>
        <v>375757.66666666669</v>
      </c>
      <c r="U18" s="150">
        <f>+S18+R18+Q18+O18+N18+M18+K18+J18+I18+G18+F18+E18</f>
        <v>3816817.3000000003</v>
      </c>
      <c r="V18" s="154">
        <f>+U18/12</f>
        <v>318068.10833333334</v>
      </c>
    </row>
    <row r="19" spans="1:22" ht="30" customHeight="1" x14ac:dyDescent="0.25">
      <c r="A19" s="108"/>
      <c r="B19" s="9" t="s">
        <v>32</v>
      </c>
      <c r="C19" s="26" t="s">
        <v>10</v>
      </c>
      <c r="D19" s="94"/>
      <c r="E19" s="46">
        <v>0.99299999999999999</v>
      </c>
      <c r="F19" s="59">
        <v>0.995</v>
      </c>
      <c r="G19" s="46">
        <v>0.99399999999999999</v>
      </c>
      <c r="H19" s="72">
        <f>AVERAGE(E19:G19)</f>
        <v>0.99400000000000011</v>
      </c>
      <c r="I19" s="59">
        <v>0.99299999999999999</v>
      </c>
      <c r="J19" s="59">
        <v>0.99399999999999999</v>
      </c>
      <c r="K19" s="59">
        <v>0.99399999999999999</v>
      </c>
      <c r="L19" s="72">
        <f t="shared" si="4"/>
        <v>0.99366666666666659</v>
      </c>
      <c r="M19" s="59">
        <v>0.99399999999999999</v>
      </c>
      <c r="N19" s="59">
        <v>0.99399999999999999</v>
      </c>
      <c r="O19" s="59">
        <v>0.995</v>
      </c>
      <c r="P19" s="72">
        <f t="shared" si="5"/>
        <v>0.9943333333333334</v>
      </c>
      <c r="Q19" s="59">
        <v>0.995</v>
      </c>
      <c r="R19" s="73">
        <v>0.995</v>
      </c>
      <c r="S19" s="59">
        <v>0.99399999999999999</v>
      </c>
      <c r="T19" s="72">
        <f t="shared" si="6"/>
        <v>0.9946666666666667</v>
      </c>
      <c r="U19" s="152" t="s">
        <v>11</v>
      </c>
      <c r="V19" s="153">
        <f>+U18/U16</f>
        <v>0.99419650060984388</v>
      </c>
    </row>
    <row r="20" spans="1:22" ht="30" customHeight="1" x14ac:dyDescent="0.35">
      <c r="A20" s="107"/>
      <c r="B20" s="15" t="s">
        <v>36</v>
      </c>
      <c r="C20" s="23" t="s">
        <v>8</v>
      </c>
      <c r="D20" s="95" t="s">
        <v>9</v>
      </c>
      <c r="E20" s="47">
        <v>1800.4</v>
      </c>
      <c r="F20" s="60">
        <v>1470.6</v>
      </c>
      <c r="G20" s="47">
        <v>1853.2</v>
      </c>
      <c r="H20" s="74">
        <f>AVERAGE(E20:G20)</f>
        <v>1708.0666666666666</v>
      </c>
      <c r="I20" s="60">
        <v>1952.7</v>
      </c>
      <c r="J20" s="60">
        <v>1920.5</v>
      </c>
      <c r="K20" s="60">
        <v>1841.2</v>
      </c>
      <c r="L20" s="74">
        <f>AVERAGE(I20:K20)</f>
        <v>1904.8</v>
      </c>
      <c r="M20" s="60">
        <v>2053.1</v>
      </c>
      <c r="N20" s="60">
        <v>1869.3</v>
      </c>
      <c r="O20" s="60">
        <v>1731.6</v>
      </c>
      <c r="P20" s="74">
        <f>AVERAGE(M20:O20)</f>
        <v>1884.6666666666667</v>
      </c>
      <c r="Q20" s="60">
        <v>1845.4</v>
      </c>
      <c r="R20" s="60">
        <v>1855.7</v>
      </c>
      <c r="S20" s="60">
        <v>2086.5</v>
      </c>
      <c r="T20" s="74">
        <f>AVERAGE(Q20:S20)</f>
        <v>1929.2</v>
      </c>
      <c r="U20" s="150">
        <f>+S20+R20+Q20+O20+N20+M20+K20+J20+I20+G20+F20+E20</f>
        <v>22280.2</v>
      </c>
      <c r="V20" s="154">
        <f>+U20/12</f>
        <v>1856.6833333333334</v>
      </c>
    </row>
    <row r="21" spans="1:22" ht="30" customHeight="1" thickBot="1" x14ac:dyDescent="0.3">
      <c r="A21" s="109"/>
      <c r="B21" s="32" t="s">
        <v>31</v>
      </c>
      <c r="C21" s="33" t="s">
        <v>10</v>
      </c>
      <c r="D21" s="96"/>
      <c r="E21" s="48">
        <v>7.0000000000000001E-3</v>
      </c>
      <c r="F21" s="61">
        <v>5.0000000000000001E-3</v>
      </c>
      <c r="G21" s="48">
        <v>6.0000000000000001E-3</v>
      </c>
      <c r="H21" s="75">
        <f>AVERAGE(E21:G21)</f>
        <v>6.000000000000001E-3</v>
      </c>
      <c r="I21" s="61">
        <v>7.0000000000000001E-3</v>
      </c>
      <c r="J21" s="61">
        <v>6.0000000000000001E-3</v>
      </c>
      <c r="K21" s="61">
        <v>6.0000000000000001E-3</v>
      </c>
      <c r="L21" s="75">
        <f>AVERAGE(I21:K21)</f>
        <v>6.333333333333334E-3</v>
      </c>
      <c r="M21" s="61">
        <v>6.0000000000000001E-3</v>
      </c>
      <c r="N21" s="61">
        <v>6.0000000000000001E-3</v>
      </c>
      <c r="O21" s="61">
        <v>5.0000000000000001E-3</v>
      </c>
      <c r="P21" s="75">
        <f>AVERAGE(M21:O21)</f>
        <v>5.6666666666666671E-3</v>
      </c>
      <c r="Q21" s="61">
        <v>5.0000000000000001E-3</v>
      </c>
      <c r="R21" s="76">
        <v>5.0000000000000001E-3</v>
      </c>
      <c r="S21" s="76">
        <v>6.0000000000000001E-3</v>
      </c>
      <c r="T21" s="75">
        <f>AVERAGE(Q21:S21)</f>
        <v>5.3333333333333332E-3</v>
      </c>
      <c r="U21" s="155" t="s">
        <v>11</v>
      </c>
      <c r="V21" s="156">
        <f>+U20/U16</f>
        <v>5.8034993901561506E-3</v>
      </c>
    </row>
    <row r="22" spans="1:22" ht="30" customHeight="1" thickTop="1" x14ac:dyDescent="0.25">
      <c r="A22" s="104" t="s">
        <v>24</v>
      </c>
      <c r="B22" s="113" t="s">
        <v>37</v>
      </c>
      <c r="C22" s="114" t="s">
        <v>19</v>
      </c>
      <c r="D22" s="115" t="s">
        <v>16</v>
      </c>
      <c r="E22" s="116">
        <f>+E24+E26</f>
        <v>22861.399999999998</v>
      </c>
      <c r="F22" s="117">
        <f>+F24+F26</f>
        <v>24052.799999999999</v>
      </c>
      <c r="G22" s="116">
        <f>+G24+G26</f>
        <v>26417.600000000002</v>
      </c>
      <c r="H22" s="118">
        <f>+(E22+F22+G22)/3</f>
        <v>24443.933333333334</v>
      </c>
      <c r="I22" s="117">
        <f>+I24+I26</f>
        <v>23884.2</v>
      </c>
      <c r="J22" s="117">
        <f>+J24+J26</f>
        <v>26290.3</v>
      </c>
      <c r="K22" s="117">
        <f>+K24+K26</f>
        <v>25935.8</v>
      </c>
      <c r="L22" s="118">
        <f>+(I22+J22+K22)/3</f>
        <v>25370.100000000002</v>
      </c>
      <c r="M22" s="117">
        <f>+M24+M26</f>
        <v>25891</v>
      </c>
      <c r="N22" s="117">
        <f>+N24+N26</f>
        <v>26158.300000000003</v>
      </c>
      <c r="O22" s="117">
        <f>+O24+O26</f>
        <v>25852</v>
      </c>
      <c r="P22" s="118">
        <f>+(M22+N22+O22)/3</f>
        <v>25967.100000000002</v>
      </c>
      <c r="Q22" s="117">
        <f>+Q24+Q26</f>
        <v>28804.799999999999</v>
      </c>
      <c r="R22" s="117">
        <f>+R24+R26</f>
        <v>28371.1</v>
      </c>
      <c r="S22" s="117">
        <f>+S24+S26</f>
        <v>28551.200000000001</v>
      </c>
      <c r="T22" s="118">
        <f>+(Q22+R22+S22)/3</f>
        <v>28575.699999999997</v>
      </c>
      <c r="U22" s="157">
        <f>+S22+R22+Q22+O22+N22+M22+K22+J22+I22+G22+F22+E22</f>
        <v>313070.5</v>
      </c>
      <c r="V22" s="161">
        <f>+U22/12</f>
        <v>26089.208333333332</v>
      </c>
    </row>
    <row r="23" spans="1:22" ht="30" customHeight="1" x14ac:dyDescent="0.25">
      <c r="A23" s="105"/>
      <c r="B23" s="10" t="s">
        <v>14</v>
      </c>
      <c r="C23" s="29" t="s">
        <v>38</v>
      </c>
      <c r="D23" s="99" t="s">
        <v>16</v>
      </c>
      <c r="E23" s="50">
        <f>+E22/E8</f>
        <v>1088.638095238095</v>
      </c>
      <c r="F23" s="63">
        <f>+F22/F8</f>
        <v>1145.3714285714286</v>
      </c>
      <c r="G23" s="50">
        <f>+G22/G8</f>
        <v>1148.5913043478263</v>
      </c>
      <c r="H23" s="78">
        <f>+(E22+F22+G22)/(E8+F8+G8)</f>
        <v>1128.1815384615386</v>
      </c>
      <c r="I23" s="63">
        <f>+I22/I8</f>
        <v>1257.0631578947368</v>
      </c>
      <c r="J23" s="63">
        <f>+J22/J8</f>
        <v>1251.9190476190477</v>
      </c>
      <c r="K23" s="63">
        <f>+K22/K8</f>
        <v>1235.0380952380951</v>
      </c>
      <c r="L23" s="78">
        <f>+(I22+J22+K22)/(I8+J8+K8)</f>
        <v>1247.7098360655739</v>
      </c>
      <c r="M23" s="63">
        <f>+M22/M8</f>
        <v>1232.9047619047619</v>
      </c>
      <c r="N23" s="63">
        <f>+N22/N8</f>
        <v>1189.0136363636366</v>
      </c>
      <c r="O23" s="63">
        <f>+O22/O8</f>
        <v>1231.047619047619</v>
      </c>
      <c r="P23" s="78">
        <f>+(M22+N22+O22)/(M8+N8+O8)</f>
        <v>1217.2078125</v>
      </c>
      <c r="Q23" s="63">
        <f>+Q22/Q8</f>
        <v>1309.3090909090909</v>
      </c>
      <c r="R23" s="63">
        <f>+R22/R8</f>
        <v>1351.0047619047618</v>
      </c>
      <c r="S23" s="63">
        <f>+S22/S8</f>
        <v>1502.6947368421054</v>
      </c>
      <c r="T23" s="78">
        <f>+(Q22+R22+S22)/(Q8+R8+S8)</f>
        <v>1382.6951612903224</v>
      </c>
      <c r="U23" s="162"/>
      <c r="V23" s="163">
        <f>+U22/U8</f>
        <v>1242.343253968254</v>
      </c>
    </row>
    <row r="24" spans="1:22" ht="30" customHeight="1" x14ac:dyDescent="0.35">
      <c r="A24" s="107"/>
      <c r="B24" s="15" t="s">
        <v>36</v>
      </c>
      <c r="C24" s="86" t="s">
        <v>49</v>
      </c>
      <c r="D24" s="95" t="s">
        <v>16</v>
      </c>
      <c r="E24" s="47">
        <v>22502.3</v>
      </c>
      <c r="F24" s="60">
        <v>23664.6</v>
      </c>
      <c r="G24" s="47">
        <v>26012.2</v>
      </c>
      <c r="H24" s="74">
        <f t="shared" ref="H24:H29" si="7">AVERAGE(E24:G24)</f>
        <v>24059.699999999997</v>
      </c>
      <c r="I24" s="60">
        <v>23538.7</v>
      </c>
      <c r="J24" s="60">
        <v>25898.799999999999</v>
      </c>
      <c r="K24" s="60">
        <v>25574.5</v>
      </c>
      <c r="L24" s="74">
        <f t="shared" si="4"/>
        <v>25004</v>
      </c>
      <c r="M24" s="60">
        <v>25530.400000000001</v>
      </c>
      <c r="N24" s="60">
        <v>25784.400000000001</v>
      </c>
      <c r="O24" s="60">
        <v>25530.5</v>
      </c>
      <c r="P24" s="74">
        <f t="shared" si="5"/>
        <v>25615.100000000002</v>
      </c>
      <c r="Q24" s="60">
        <v>28452.5</v>
      </c>
      <c r="R24" s="60">
        <v>28051.5</v>
      </c>
      <c r="S24" s="60">
        <v>28240.5</v>
      </c>
      <c r="T24" s="74">
        <f t="shared" si="6"/>
        <v>28248.166666666668</v>
      </c>
      <c r="U24" s="150">
        <f>+S24+R24+Q24+O24+N24+M24+K24+J24+I24+G24+F24+E24</f>
        <v>308780.89999999997</v>
      </c>
      <c r="V24" s="154">
        <f>+U24/12</f>
        <v>25731.741666666665</v>
      </c>
    </row>
    <row r="25" spans="1:22" ht="30" customHeight="1" x14ac:dyDescent="0.25">
      <c r="A25" s="108"/>
      <c r="B25" s="9" t="s">
        <v>32</v>
      </c>
      <c r="C25" s="20" t="s">
        <v>50</v>
      </c>
      <c r="D25" s="94"/>
      <c r="E25" s="46">
        <v>0.98399999999999999</v>
      </c>
      <c r="F25" s="59">
        <v>0.98399999999999999</v>
      </c>
      <c r="G25" s="46">
        <v>0.98499999999999999</v>
      </c>
      <c r="H25" s="72">
        <f t="shared" si="7"/>
        <v>0.98433333333333328</v>
      </c>
      <c r="I25" s="59">
        <v>0.98599999999999999</v>
      </c>
      <c r="J25" s="59">
        <v>0.98499999999999999</v>
      </c>
      <c r="K25" s="59">
        <v>0.98599999999999999</v>
      </c>
      <c r="L25" s="72">
        <f t="shared" si="4"/>
        <v>0.98566666666666658</v>
      </c>
      <c r="M25" s="59">
        <v>0.98599999999999999</v>
      </c>
      <c r="N25" s="59">
        <v>0.98599999999999999</v>
      </c>
      <c r="O25" s="59">
        <v>0.98799999999999999</v>
      </c>
      <c r="P25" s="72">
        <f t="shared" si="5"/>
        <v>0.98666666666666669</v>
      </c>
      <c r="Q25" s="59">
        <v>0.98799999999999999</v>
      </c>
      <c r="R25" s="73">
        <v>0.98899999999999999</v>
      </c>
      <c r="S25" s="59">
        <v>0.98899999999999999</v>
      </c>
      <c r="T25" s="72">
        <f t="shared" si="6"/>
        <v>0.98866666666666658</v>
      </c>
      <c r="U25" s="164" t="s">
        <v>11</v>
      </c>
      <c r="V25" s="165">
        <f>+U24/U22</f>
        <v>0.98629829383477507</v>
      </c>
    </row>
    <row r="26" spans="1:22" ht="30" customHeight="1" x14ac:dyDescent="0.35">
      <c r="A26" s="107"/>
      <c r="B26" s="15" t="s">
        <v>36</v>
      </c>
      <c r="C26" s="87" t="s">
        <v>49</v>
      </c>
      <c r="D26" s="95" t="s">
        <v>16</v>
      </c>
      <c r="E26" s="47">
        <v>359.1</v>
      </c>
      <c r="F26" s="60">
        <v>388.2</v>
      </c>
      <c r="G26" s="47">
        <v>405.4</v>
      </c>
      <c r="H26" s="74">
        <f t="shared" si="7"/>
        <v>384.23333333333329</v>
      </c>
      <c r="I26" s="60">
        <v>345.5</v>
      </c>
      <c r="J26" s="60">
        <v>391.5</v>
      </c>
      <c r="K26" s="60">
        <v>361.3</v>
      </c>
      <c r="L26" s="74">
        <f t="shared" si="4"/>
        <v>366.09999999999997</v>
      </c>
      <c r="M26" s="60">
        <v>360.6</v>
      </c>
      <c r="N26" s="60">
        <v>373.9</v>
      </c>
      <c r="O26" s="60">
        <v>321.5</v>
      </c>
      <c r="P26" s="74">
        <f t="shared" si="5"/>
        <v>352</v>
      </c>
      <c r="Q26" s="60">
        <v>352.3</v>
      </c>
      <c r="R26" s="60">
        <v>319.60000000000002</v>
      </c>
      <c r="S26" s="60">
        <v>310.7</v>
      </c>
      <c r="T26" s="74">
        <f t="shared" si="6"/>
        <v>327.53333333333336</v>
      </c>
      <c r="U26" s="150">
        <f>+S26+R26+Q26+O26+N26+M26+K26+J26+I26+G26+F26+E26</f>
        <v>4289.6000000000004</v>
      </c>
      <c r="V26" s="166">
        <f>+U26/12</f>
        <v>357.4666666666667</v>
      </c>
    </row>
    <row r="27" spans="1:22" ht="30" customHeight="1" thickBot="1" x14ac:dyDescent="0.3">
      <c r="A27" s="109"/>
      <c r="B27" s="32" t="s">
        <v>31</v>
      </c>
      <c r="C27" s="33" t="s">
        <v>50</v>
      </c>
      <c r="D27" s="96"/>
      <c r="E27" s="48">
        <v>1.6E-2</v>
      </c>
      <c r="F27" s="61">
        <v>1.6E-2</v>
      </c>
      <c r="G27" s="48">
        <v>1.4999999999999999E-2</v>
      </c>
      <c r="H27" s="75">
        <f t="shared" si="7"/>
        <v>1.5666666666666666E-2</v>
      </c>
      <c r="I27" s="61">
        <v>1.4E-2</v>
      </c>
      <c r="J27" s="61">
        <v>1.4999999999999999E-2</v>
      </c>
      <c r="K27" s="61">
        <v>1.4E-2</v>
      </c>
      <c r="L27" s="75">
        <f t="shared" si="4"/>
        <v>1.4333333333333332E-2</v>
      </c>
      <c r="M27" s="61">
        <v>1.4E-2</v>
      </c>
      <c r="N27" s="61">
        <v>1.4E-2</v>
      </c>
      <c r="O27" s="61">
        <v>1.2E-2</v>
      </c>
      <c r="P27" s="75">
        <f t="shared" si="5"/>
        <v>1.3333333333333334E-2</v>
      </c>
      <c r="Q27" s="61">
        <v>1.2E-2</v>
      </c>
      <c r="R27" s="76">
        <v>1.0999999999999999E-2</v>
      </c>
      <c r="S27" s="76">
        <v>1.0999999999999999E-2</v>
      </c>
      <c r="T27" s="75">
        <f t="shared" si="6"/>
        <v>1.1333333333333334E-2</v>
      </c>
      <c r="U27" s="167" t="s">
        <v>11</v>
      </c>
      <c r="V27" s="168">
        <f>+U26/U22</f>
        <v>1.3701706165224767E-2</v>
      </c>
    </row>
    <row r="28" spans="1:22" ht="30" customHeight="1" thickTop="1" x14ac:dyDescent="0.25">
      <c r="A28" s="104" t="s">
        <v>24</v>
      </c>
      <c r="B28" s="113" t="s">
        <v>34</v>
      </c>
      <c r="C28" s="177" t="s">
        <v>18</v>
      </c>
      <c r="D28" s="97"/>
      <c r="E28" s="178">
        <v>2302</v>
      </c>
      <c r="F28" s="179">
        <f>1474+797</f>
        <v>2271</v>
      </c>
      <c r="G28" s="178">
        <v>2274</v>
      </c>
      <c r="H28" s="180">
        <f t="shared" si="7"/>
        <v>2282.3333333333335</v>
      </c>
      <c r="I28" s="179">
        <v>2277</v>
      </c>
      <c r="J28" s="179">
        <v>2281</v>
      </c>
      <c r="K28" s="179">
        <v>2301</v>
      </c>
      <c r="L28" s="180">
        <f>AVERAGE(I28:K28)</f>
        <v>2286.3333333333335</v>
      </c>
      <c r="M28" s="179">
        <v>2317</v>
      </c>
      <c r="N28" s="179">
        <v>2309</v>
      </c>
      <c r="O28" s="179">
        <v>2326</v>
      </c>
      <c r="P28" s="180">
        <f>AVERAGE(M28:O28)</f>
        <v>2317.3333333333335</v>
      </c>
      <c r="Q28" s="179">
        <v>2332</v>
      </c>
      <c r="R28" s="179">
        <v>2340</v>
      </c>
      <c r="S28" s="179">
        <v>2344</v>
      </c>
      <c r="T28" s="180">
        <f>AVERAGE(Q28:S28)</f>
        <v>2338.6666666666665</v>
      </c>
      <c r="U28" s="181" t="s">
        <v>11</v>
      </c>
      <c r="V28" s="182">
        <f>AVERAGE(E28:G28,I28:K28,M28:O28,Q28:S28)</f>
        <v>2306.1666666666665</v>
      </c>
    </row>
    <row r="29" spans="1:22" ht="30" customHeight="1" x14ac:dyDescent="0.25">
      <c r="A29" s="110"/>
      <c r="B29" s="11"/>
      <c r="C29" s="119" t="s">
        <v>19</v>
      </c>
      <c r="D29" s="120" t="s">
        <v>16</v>
      </c>
      <c r="E29" s="121">
        <v>12717.1</v>
      </c>
      <c r="F29" s="122">
        <v>13416.8</v>
      </c>
      <c r="G29" s="121">
        <v>14501.1</v>
      </c>
      <c r="H29" s="123">
        <f t="shared" si="7"/>
        <v>13545</v>
      </c>
      <c r="I29" s="122">
        <v>13781.5</v>
      </c>
      <c r="J29" s="122">
        <v>15036.9</v>
      </c>
      <c r="K29" s="122">
        <v>15208.9</v>
      </c>
      <c r="L29" s="123">
        <f>AVERAGE(I29:K29)</f>
        <v>14675.766666666668</v>
      </c>
      <c r="M29" s="122">
        <v>15462.7</v>
      </c>
      <c r="N29" s="122">
        <v>16105.9</v>
      </c>
      <c r="O29" s="122">
        <v>16474.099999999999</v>
      </c>
      <c r="P29" s="123">
        <f>AVERAGE(M29:O29)</f>
        <v>16014.233333333332</v>
      </c>
      <c r="Q29" s="122">
        <v>18593.099999999999</v>
      </c>
      <c r="R29" s="122">
        <v>18704.599999999999</v>
      </c>
      <c r="S29" s="122">
        <v>19372</v>
      </c>
      <c r="T29" s="123">
        <f>AVERAGE(Q29:S29)</f>
        <v>18889.899999999998</v>
      </c>
      <c r="U29" s="169">
        <f>+S29+R29+Q29+O29+N29+M29+K29+J29+I29+G29+F29+E29</f>
        <v>189374.69999999998</v>
      </c>
      <c r="V29" s="170">
        <f>+U29/12</f>
        <v>15781.224999999999</v>
      </c>
    </row>
    <row r="30" spans="1:22" ht="30" customHeight="1" x14ac:dyDescent="0.25">
      <c r="A30" s="110"/>
      <c r="B30" s="11"/>
      <c r="C30" s="2" t="s">
        <v>20</v>
      </c>
      <c r="D30" s="100" t="s">
        <v>16</v>
      </c>
      <c r="E30" s="51">
        <f>E29/E8</f>
        <v>605.5761904761905</v>
      </c>
      <c r="F30" s="64">
        <f>F29/F8</f>
        <v>638.89523809523803</v>
      </c>
      <c r="G30" s="51">
        <f>G29/G8</f>
        <v>630.48260869565217</v>
      </c>
      <c r="H30" s="79">
        <f>SUM(E29:G29)/SUM(E8:G8)</f>
        <v>625.15384615384619</v>
      </c>
      <c r="I30" s="64">
        <f>I29/I8</f>
        <v>725.34210526315792</v>
      </c>
      <c r="J30" s="64">
        <f>J29/J8</f>
        <v>716.04285714285709</v>
      </c>
      <c r="K30" s="64">
        <f>K29/K8</f>
        <v>724.23333333333335</v>
      </c>
      <c r="L30" s="79">
        <f>SUM(I29:K29)/SUM(I8:K8)</f>
        <v>721.75901639344272</v>
      </c>
      <c r="M30" s="64">
        <f>M29/M8</f>
        <v>736.31904761904764</v>
      </c>
      <c r="N30" s="64">
        <f>N29/N8</f>
        <v>732.08636363636367</v>
      </c>
      <c r="O30" s="64">
        <f>O29/O8</f>
        <v>784.48095238095232</v>
      </c>
      <c r="P30" s="79">
        <f>SUM(M29:O29)/SUM(M8:O8)</f>
        <v>750.66718749999995</v>
      </c>
      <c r="Q30" s="64">
        <f>Q29/Q8</f>
        <v>845.14090909090908</v>
      </c>
      <c r="R30" s="64">
        <f>R29/R8</f>
        <v>890.69523809523798</v>
      </c>
      <c r="S30" s="64">
        <f>S29/S8</f>
        <v>1019.578947368421</v>
      </c>
      <c r="T30" s="79">
        <f>SUM(Q29:S29)/SUM(Q8:S8)</f>
        <v>914.02741935483868</v>
      </c>
      <c r="U30" s="171" t="s">
        <v>25</v>
      </c>
      <c r="V30" s="172">
        <f>U29/U8</f>
        <v>751.48690476190473</v>
      </c>
    </row>
    <row r="31" spans="1:22" ht="30" customHeight="1" x14ac:dyDescent="0.25">
      <c r="A31" s="110"/>
      <c r="B31" s="11"/>
      <c r="C31" s="2" t="s">
        <v>21</v>
      </c>
      <c r="D31" s="100"/>
      <c r="E31" s="52">
        <v>0.46700000000000003</v>
      </c>
      <c r="F31" s="65">
        <v>0.379</v>
      </c>
      <c r="G31" s="52">
        <v>0.372</v>
      </c>
      <c r="H31" s="80">
        <f>AVERAGE(E31:G31)</f>
        <v>0.40599999999999997</v>
      </c>
      <c r="I31" s="65">
        <v>0.40400000000000003</v>
      </c>
      <c r="J31" s="65">
        <v>0.40200000000000002</v>
      </c>
      <c r="K31" s="65">
        <v>0.41499999999999998</v>
      </c>
      <c r="L31" s="80">
        <f>AVERAGE(I31:K31)</f>
        <v>0.40700000000000003</v>
      </c>
      <c r="M31" s="65">
        <v>0.42499999999999999</v>
      </c>
      <c r="N31" s="65">
        <v>0.442</v>
      </c>
      <c r="O31" s="65">
        <v>0.46800000000000003</v>
      </c>
      <c r="P31" s="80">
        <f>AVERAGE(M31:O31)</f>
        <v>0.44500000000000001</v>
      </c>
      <c r="Q31" s="65">
        <v>0.48299999999999998</v>
      </c>
      <c r="R31" s="81">
        <v>0.503</v>
      </c>
      <c r="S31" s="81">
        <v>0.53400000000000003</v>
      </c>
      <c r="T31" s="80">
        <f>AVERAGE(Q31:S31)</f>
        <v>0.50666666666666671</v>
      </c>
      <c r="U31" s="171" t="s">
        <v>11</v>
      </c>
      <c r="V31" s="173">
        <f>+U29/U22</f>
        <v>0.6048947441550705</v>
      </c>
    </row>
    <row r="32" spans="1:22" ht="30" customHeight="1" x14ac:dyDescent="0.25">
      <c r="A32" s="110"/>
      <c r="B32" s="11"/>
      <c r="C32" s="2" t="s">
        <v>22</v>
      </c>
      <c r="D32" s="100" t="s">
        <v>23</v>
      </c>
      <c r="E32" s="51">
        <v>16.3</v>
      </c>
      <c r="F32" s="64">
        <v>17.5</v>
      </c>
      <c r="G32" s="51">
        <v>17.2</v>
      </c>
      <c r="H32" s="79">
        <f>AVERAGE(E32:G32)</f>
        <v>17</v>
      </c>
      <c r="I32" s="64">
        <v>16.7</v>
      </c>
      <c r="J32" s="64">
        <v>17.399999999999999</v>
      </c>
      <c r="K32" s="64">
        <v>16.3</v>
      </c>
      <c r="L32" s="79">
        <f>SUM(I33:K33)/SUM(I29:K29)</f>
        <v>16.792908036604562</v>
      </c>
      <c r="M32" s="64">
        <v>18.7</v>
      </c>
      <c r="N32" s="64">
        <v>18.600000000000001</v>
      </c>
      <c r="O32" s="64">
        <v>19.2</v>
      </c>
      <c r="P32" s="79">
        <f>SUM(M33:O33)/SUM(M29:O29)</f>
        <v>18.829347642826072</v>
      </c>
      <c r="Q32" s="64">
        <v>19.100000000000001</v>
      </c>
      <c r="R32" s="64">
        <v>18.399999999999999</v>
      </c>
      <c r="S32" s="64">
        <v>16.8</v>
      </c>
      <c r="T32" s="79">
        <f>SUM(Q33:S33)/SUM(Q29:S29)</f>
        <v>18.066204691395932</v>
      </c>
      <c r="U32" s="162" t="s">
        <v>11</v>
      </c>
      <c r="V32" s="172">
        <f>AVERAGE(E32:G32,I32:K32,M32:O32,Q32:S32)</f>
        <v>17.683333333333334</v>
      </c>
    </row>
    <row r="33" spans="1:24" ht="30" customHeight="1" x14ac:dyDescent="0.25">
      <c r="A33" s="110"/>
      <c r="B33" s="11"/>
      <c r="C33" s="124" t="s">
        <v>26</v>
      </c>
      <c r="D33" s="125" t="s">
        <v>9</v>
      </c>
      <c r="E33" s="126">
        <v>207661.2</v>
      </c>
      <c r="F33" s="127">
        <v>234697.3</v>
      </c>
      <c r="G33" s="126">
        <v>249191.9</v>
      </c>
      <c r="H33" s="128">
        <f>AVERAGE(E33:G33)</f>
        <v>230516.80000000002</v>
      </c>
      <c r="I33" s="127">
        <v>230524.9</v>
      </c>
      <c r="J33" s="127">
        <v>261441.9</v>
      </c>
      <c r="K33" s="127">
        <v>247379.6</v>
      </c>
      <c r="L33" s="128">
        <f>AVERAGE(I33:K33)</f>
        <v>246448.80000000002</v>
      </c>
      <c r="M33" s="127">
        <v>289000.7</v>
      </c>
      <c r="N33" s="127">
        <v>300128.40000000002</v>
      </c>
      <c r="O33" s="127">
        <v>315483.59999999998</v>
      </c>
      <c r="P33" s="128">
        <f>AVERAGE(M33:O33)</f>
        <v>301537.56666666671</v>
      </c>
      <c r="Q33" s="127">
        <v>354691.3</v>
      </c>
      <c r="R33" s="127">
        <v>343850.7</v>
      </c>
      <c r="S33" s="127">
        <v>325264.40000000002</v>
      </c>
      <c r="T33" s="128">
        <f>AVERAGE(Q33:S33)</f>
        <v>341268.8</v>
      </c>
      <c r="U33" s="169">
        <f>+S33+R33+Q33+O33+N33+M33+K33+J33+I33+G33+F33+E33</f>
        <v>3359315.8999999994</v>
      </c>
      <c r="V33" s="176">
        <f>+U33/12</f>
        <v>279942.99166666664</v>
      </c>
    </row>
    <row r="34" spans="1:24" ht="30" customHeight="1" x14ac:dyDescent="0.25">
      <c r="A34" s="110"/>
      <c r="B34" s="11"/>
      <c r="C34" s="2"/>
      <c r="D34" s="100" t="s">
        <v>9</v>
      </c>
      <c r="E34" s="51">
        <f>E33/E8</f>
        <v>9888.6285714285714</v>
      </c>
      <c r="F34" s="64">
        <f>F33/F8</f>
        <v>11176.061904761904</v>
      </c>
      <c r="G34" s="51">
        <f>G33/G8</f>
        <v>10834.430434782609</v>
      </c>
      <c r="H34" s="79">
        <f>SUM(E33:G33)/SUM(E8:G8)</f>
        <v>10639.236923076924</v>
      </c>
      <c r="I34" s="64">
        <f>I33/I8</f>
        <v>12132.88947368421</v>
      </c>
      <c r="J34" s="64">
        <f>J33/J8</f>
        <v>12449.614285714286</v>
      </c>
      <c r="K34" s="64">
        <f>K33/K8</f>
        <v>11779.980952380953</v>
      </c>
      <c r="L34" s="79">
        <f>SUM(I33:K33)/SUM(I8:K8)</f>
        <v>12120.432786885247</v>
      </c>
      <c r="M34" s="64">
        <f>M33/M8</f>
        <v>13761.938095238096</v>
      </c>
      <c r="N34" s="64">
        <f>N33/N8</f>
        <v>13642.2</v>
      </c>
      <c r="O34" s="64">
        <f>O33/O8</f>
        <v>15023.028571428571</v>
      </c>
      <c r="P34" s="79">
        <f>SUM(M33:O33)/SUM(M8:O8)</f>
        <v>14134.573437500001</v>
      </c>
      <c r="Q34" s="64">
        <f>Q33/Q8</f>
        <v>16122.331818181818</v>
      </c>
      <c r="R34" s="64">
        <f>R33/R8</f>
        <v>16373.842857142858</v>
      </c>
      <c r="S34" s="64">
        <f>S33/S8</f>
        <v>17119.178947368422</v>
      </c>
      <c r="T34" s="79">
        <f>SUM(Q33:S33)/SUM(Q8:S8)</f>
        <v>16513.006451612902</v>
      </c>
      <c r="U34" s="171" t="s">
        <v>11</v>
      </c>
      <c r="V34" s="172">
        <f>U33/U8</f>
        <v>13330.618650793649</v>
      </c>
    </row>
    <row r="35" spans="1:24" ht="30" customHeight="1" thickBot="1" x14ac:dyDescent="0.3">
      <c r="A35" s="111"/>
      <c r="B35" s="13"/>
      <c r="C35" s="14" t="s">
        <v>10</v>
      </c>
      <c r="D35" s="101"/>
      <c r="E35" s="53">
        <v>0.83599999999999997</v>
      </c>
      <c r="F35" s="66">
        <v>0.85</v>
      </c>
      <c r="G35" s="53">
        <v>0.83899999999999997</v>
      </c>
      <c r="H35" s="83">
        <f>AVERAGE(E35:G35)</f>
        <v>0.84166666666666667</v>
      </c>
      <c r="I35" s="66">
        <v>0.85399999999999998</v>
      </c>
      <c r="J35" s="66">
        <v>0.85399999999999998</v>
      </c>
      <c r="K35" s="66">
        <v>0.85599999999999998</v>
      </c>
      <c r="L35" s="83">
        <f>AVERAGE(I35:K35)</f>
        <v>0.85466666666666669</v>
      </c>
      <c r="M35" s="66">
        <v>0.873</v>
      </c>
      <c r="N35" s="66">
        <v>0.88800000000000001</v>
      </c>
      <c r="O35" s="66">
        <v>0.9</v>
      </c>
      <c r="P35" s="83">
        <f>AVERAGE(M35:O35)</f>
        <v>0.88700000000000001</v>
      </c>
      <c r="Q35" s="66">
        <v>0.90300000000000002</v>
      </c>
      <c r="R35" s="84">
        <v>0.90600000000000003</v>
      </c>
      <c r="S35" s="84">
        <v>0.90200000000000002</v>
      </c>
      <c r="T35" s="83">
        <f>AVERAGE(Q35:S35)</f>
        <v>0.90366666666666673</v>
      </c>
      <c r="U35" s="174" t="s">
        <v>11</v>
      </c>
      <c r="V35" s="175">
        <f>+U33/U16</f>
        <v>0.87502750320876177</v>
      </c>
    </row>
    <row r="36" spans="1:24" ht="30" customHeight="1" thickTop="1" x14ac:dyDescent="0.25">
      <c r="A36" s="104" t="s">
        <v>33</v>
      </c>
      <c r="B36" s="113" t="s">
        <v>35</v>
      </c>
      <c r="C36" s="177" t="s">
        <v>18</v>
      </c>
      <c r="D36" s="97"/>
      <c r="E36" s="178">
        <f>2230+91</f>
        <v>2321</v>
      </c>
      <c r="F36" s="179">
        <f>2232+92</f>
        <v>2324</v>
      </c>
      <c r="G36" s="178">
        <f>2229+98</f>
        <v>2327</v>
      </c>
      <c r="H36" s="180">
        <f>AVERAGE(E36:G36)</f>
        <v>2324</v>
      </c>
      <c r="I36" s="179">
        <v>2330</v>
      </c>
      <c r="J36" s="179">
        <v>2334</v>
      </c>
      <c r="K36" s="179">
        <v>2354</v>
      </c>
      <c r="L36" s="180">
        <f>AVERAGE(I36:K36)</f>
        <v>2339.3333333333335</v>
      </c>
      <c r="M36" s="179">
        <f>2214+156</f>
        <v>2370</v>
      </c>
      <c r="N36" s="179">
        <f>2160+201</f>
        <v>2361</v>
      </c>
      <c r="O36" s="179">
        <f>2153+226</f>
        <v>2379</v>
      </c>
      <c r="P36" s="180">
        <f>AVERAGE(M36:O36)</f>
        <v>2370</v>
      </c>
      <c r="Q36" s="179">
        <v>2382</v>
      </c>
      <c r="R36" s="179">
        <v>2388</v>
      </c>
      <c r="S36" s="179">
        <v>2038</v>
      </c>
      <c r="T36" s="180">
        <f>AVERAGE(Q36:S36)</f>
        <v>2269.3333333333335</v>
      </c>
      <c r="U36" s="181" t="s">
        <v>11</v>
      </c>
      <c r="V36" s="182">
        <f>AVERAGE(E36:G36,I36:K36,M36:O36,Q36:S36)</f>
        <v>2325.6666666666665</v>
      </c>
    </row>
    <row r="37" spans="1:24" ht="30" customHeight="1" x14ac:dyDescent="0.25">
      <c r="A37" s="105"/>
      <c r="B37" s="11"/>
      <c r="C37" s="119" t="s">
        <v>19</v>
      </c>
      <c r="D37" s="120" t="s">
        <v>16</v>
      </c>
      <c r="E37" s="121">
        <v>14525</v>
      </c>
      <c r="F37" s="122">
        <v>22008.3</v>
      </c>
      <c r="G37" s="121">
        <v>24526</v>
      </c>
      <c r="H37" s="123">
        <f>AVERAGE(E37:G37)</f>
        <v>20353.100000000002</v>
      </c>
      <c r="I37" s="122">
        <v>20361.8</v>
      </c>
      <c r="J37" s="122">
        <v>22327.3</v>
      </c>
      <c r="K37" s="122">
        <v>21456.2</v>
      </c>
      <c r="L37" s="123">
        <f>AVERAGE(I37:K37)</f>
        <v>21381.766666666666</v>
      </c>
      <c r="M37" s="122">
        <v>20879.8</v>
      </c>
      <c r="N37" s="122">
        <v>20310.5</v>
      </c>
      <c r="O37" s="122">
        <v>18721.5</v>
      </c>
      <c r="P37" s="123">
        <f>AVERAGE(M37:O37)</f>
        <v>19970.600000000002</v>
      </c>
      <c r="Q37" s="122">
        <v>19887.900000000001</v>
      </c>
      <c r="R37" s="122">
        <v>18472.7</v>
      </c>
      <c r="S37" s="122">
        <v>16933.7</v>
      </c>
      <c r="T37" s="123">
        <f>AVERAGE(Q37:S37)</f>
        <v>18431.433333333334</v>
      </c>
      <c r="U37" s="169">
        <f>+S37+R37+Q37+O37+N37+M37+K37+J37+I37+G37+F37+E37</f>
        <v>240410.69999999998</v>
      </c>
      <c r="V37" s="170">
        <f>+U37/12</f>
        <v>20034.224999999999</v>
      </c>
    </row>
    <row r="38" spans="1:24" ht="30" customHeight="1" x14ac:dyDescent="0.25">
      <c r="A38" s="105"/>
      <c r="B38" s="11"/>
      <c r="C38" s="1" t="s">
        <v>20</v>
      </c>
      <c r="D38" s="100" t="s">
        <v>16</v>
      </c>
      <c r="E38" s="51">
        <f>E37/E24</f>
        <v>0.64548957217706637</v>
      </c>
      <c r="F38" s="64">
        <f>F37/F24</f>
        <v>0.93000938110088494</v>
      </c>
      <c r="G38" s="51">
        <f>G37/G24</f>
        <v>0.94286527091134154</v>
      </c>
      <c r="H38" s="79">
        <f>SUM(E37:G37)/SUM(E24:G24)</f>
        <v>0.84594155371845881</v>
      </c>
      <c r="I38" s="64">
        <f>I37/I24</f>
        <v>0.86503502742292471</v>
      </c>
      <c r="J38" s="64">
        <f>J37/J24</f>
        <v>0.86209785781580617</v>
      </c>
      <c r="K38" s="64">
        <f>K37/K24</f>
        <v>0.8389685037830652</v>
      </c>
      <c r="L38" s="79">
        <f>SUM(I37:K37)/SUM(I24:K24)</f>
        <v>0.85513384525142644</v>
      </c>
      <c r="M38" s="64">
        <f>M37/M24</f>
        <v>0.81784069188105157</v>
      </c>
      <c r="N38" s="64">
        <f>N37/N24</f>
        <v>0.78770496889592156</v>
      </c>
      <c r="O38" s="64">
        <f>O37/O24</f>
        <v>0.7332993870076967</v>
      </c>
      <c r="P38" s="79">
        <f>SUM(M37:O37)/SUM(M24:O24)</f>
        <v>0.77964169571854103</v>
      </c>
      <c r="Q38" s="64">
        <f>Q37/Q24</f>
        <v>0.69898602934715759</v>
      </c>
      <c r="R38" s="64">
        <f>R37/R24</f>
        <v>0.65852806445288137</v>
      </c>
      <c r="S38" s="64">
        <f>S37/S24</f>
        <v>0.59962465253802166</v>
      </c>
      <c r="T38" s="79">
        <f>SUM(Q37:S37)/SUM(Q24:S24)</f>
        <v>0.65248246198868365</v>
      </c>
      <c r="U38" s="171" t="s">
        <v>11</v>
      </c>
      <c r="V38" s="172">
        <f>U37/U24</f>
        <v>0.77858021658723064</v>
      </c>
    </row>
    <row r="39" spans="1:24" ht="30" customHeight="1" x14ac:dyDescent="0.25">
      <c r="A39" s="105"/>
      <c r="B39" s="11"/>
      <c r="C39" s="1" t="s">
        <v>21</v>
      </c>
      <c r="D39" s="100"/>
      <c r="E39" s="52">
        <v>0.53300000000000003</v>
      </c>
      <c r="F39" s="65">
        <v>0.621</v>
      </c>
      <c r="G39" s="52">
        <v>0.628</v>
      </c>
      <c r="H39" s="80">
        <f>AVERAGE(E39:G39)</f>
        <v>0.59399999999999997</v>
      </c>
      <c r="I39" s="65">
        <v>0.59599999999999997</v>
      </c>
      <c r="J39" s="65">
        <v>0.59799999999999998</v>
      </c>
      <c r="K39" s="65">
        <v>0.58499999999999996</v>
      </c>
      <c r="L39" s="80">
        <f>AVERAGE(I39:K39)</f>
        <v>0.59299999999999997</v>
      </c>
      <c r="M39" s="65">
        <v>0.57499999999999996</v>
      </c>
      <c r="N39" s="65">
        <v>0.55800000000000005</v>
      </c>
      <c r="O39" s="65">
        <v>0.53200000000000003</v>
      </c>
      <c r="P39" s="80">
        <f>AVERAGE(M39:O39)</f>
        <v>0.55500000000000005</v>
      </c>
      <c r="Q39" s="65">
        <v>0.51700000000000002</v>
      </c>
      <c r="R39" s="81">
        <v>0.497</v>
      </c>
      <c r="S39" s="81">
        <v>0.46600000000000003</v>
      </c>
      <c r="T39" s="80">
        <f>AVERAGE(Q39:S39)</f>
        <v>0.49333333333333335</v>
      </c>
      <c r="U39" s="171" t="s">
        <v>11</v>
      </c>
      <c r="V39" s="173" t="e">
        <f>+U37/U30</f>
        <v>#VALUE!</v>
      </c>
      <c r="X39" s="8"/>
    </row>
    <row r="40" spans="1:24" ht="30" customHeight="1" x14ac:dyDescent="0.25">
      <c r="A40" s="105"/>
      <c r="B40" s="11"/>
      <c r="C40" s="12" t="s">
        <v>22</v>
      </c>
      <c r="D40" s="98" t="s">
        <v>23</v>
      </c>
      <c r="E40" s="49">
        <v>2.8</v>
      </c>
      <c r="F40" s="62">
        <v>1.9</v>
      </c>
      <c r="G40" s="49">
        <v>1.9</v>
      </c>
      <c r="H40" s="77">
        <f>AVERAGE(E40:G40)</f>
        <v>2.1999999999999997</v>
      </c>
      <c r="I40" s="62">
        <v>1.9</v>
      </c>
      <c r="J40" s="62">
        <v>2</v>
      </c>
      <c r="K40" s="62">
        <v>1.9</v>
      </c>
      <c r="L40" s="77">
        <f>SUM(I41:K41)/SUM(I37:K37)</f>
        <v>1.9613658366240396</v>
      </c>
      <c r="M40" s="62">
        <v>2</v>
      </c>
      <c r="N40" s="62">
        <v>1.9</v>
      </c>
      <c r="O40" s="62">
        <v>1.9</v>
      </c>
      <c r="P40" s="77">
        <f>SUM(M41:O41)/SUM(M37:O37)</f>
        <v>1.917164899068297</v>
      </c>
      <c r="Q40" s="82">
        <v>1.9</v>
      </c>
      <c r="R40" s="62">
        <v>1.9</v>
      </c>
      <c r="S40" s="62">
        <v>2.1</v>
      </c>
      <c r="T40" s="85">
        <f>SUM(Q41:S41)/SUM(Q37:S37)</f>
        <v>1.9758691221337461</v>
      </c>
      <c r="U40" s="159" t="s">
        <v>11</v>
      </c>
      <c r="V40" s="160">
        <f>AVERAGE(E40:G40,I40:K40,M40:O40,Q40:S40)</f>
        <v>2.0083333333333333</v>
      </c>
    </row>
    <row r="41" spans="1:24" ht="30" customHeight="1" x14ac:dyDescent="0.25">
      <c r="A41" s="105"/>
      <c r="B41" s="11"/>
      <c r="C41" s="119" t="s">
        <v>8</v>
      </c>
      <c r="D41" s="120" t="s">
        <v>9</v>
      </c>
      <c r="E41" s="121">
        <v>40625.199999999997</v>
      </c>
      <c r="F41" s="122">
        <v>41520.699999999997</v>
      </c>
      <c r="G41" s="121">
        <v>47708.3</v>
      </c>
      <c r="H41" s="123">
        <f>AVERAGE(E41:G41)</f>
        <v>43284.73333333333</v>
      </c>
      <c r="I41" s="122">
        <v>39552.5</v>
      </c>
      <c r="J41" s="122">
        <v>44769.599999999999</v>
      </c>
      <c r="K41" s="122">
        <v>41490.300000000003</v>
      </c>
      <c r="L41" s="123">
        <f>AVERAGE(I41:K41)</f>
        <v>41937.466666666667</v>
      </c>
      <c r="M41" s="122">
        <v>41885.9</v>
      </c>
      <c r="N41" s="122">
        <v>37817.699999999997</v>
      </c>
      <c r="O41" s="122">
        <v>35157.199999999997</v>
      </c>
      <c r="P41" s="123">
        <f>AVERAGE(M41:O41)</f>
        <v>38286.933333333334</v>
      </c>
      <c r="Q41" s="122">
        <v>38311.599999999999</v>
      </c>
      <c r="R41" s="122">
        <v>35782.5</v>
      </c>
      <c r="S41" s="122">
        <v>35160.199999999997</v>
      </c>
      <c r="T41" s="123">
        <f>AVERAGE(Q41:S41)</f>
        <v>36418.1</v>
      </c>
      <c r="U41" s="169">
        <f>+S41+R41+Q41+O41+N41+M41+K41+J41+I41+G41+F41+E41</f>
        <v>479781.7</v>
      </c>
      <c r="V41" s="170">
        <f>+U41/12</f>
        <v>39981.808333333334</v>
      </c>
    </row>
    <row r="42" spans="1:24" ht="30" customHeight="1" x14ac:dyDescent="0.25">
      <c r="A42" s="105"/>
      <c r="B42" s="11"/>
      <c r="C42" s="1" t="s">
        <v>20</v>
      </c>
      <c r="D42" s="100" t="s">
        <v>9</v>
      </c>
      <c r="E42" s="51">
        <f>E41/E24</f>
        <v>1.8053798944996733</v>
      </c>
      <c r="F42" s="64">
        <f>F41/F24</f>
        <v>1.7545489887849361</v>
      </c>
      <c r="G42" s="51">
        <f>G41/G24</f>
        <v>1.8340740114254082</v>
      </c>
      <c r="H42" s="79">
        <f>SUM(E41:G41)/SUM(E24:G24)</f>
        <v>1.7990554052350336</v>
      </c>
      <c r="I42" s="64">
        <f>I41/I24</f>
        <v>1.680317944491412</v>
      </c>
      <c r="J42" s="64">
        <f>J41/J24</f>
        <v>1.7286360758027399</v>
      </c>
      <c r="K42" s="64">
        <f>K41/K24</f>
        <v>1.6223308373575243</v>
      </c>
      <c r="L42" s="79">
        <f>SUM(I41:K41)/SUM(I24:K24)</f>
        <v>1.677230309817096</v>
      </c>
      <c r="M42" s="64">
        <f>M41/M24</f>
        <v>1.6406284272866856</v>
      </c>
      <c r="N42" s="64">
        <f>N41/N24</f>
        <v>1.4666891608879786</v>
      </c>
      <c r="O42" s="64">
        <f>O41/O24</f>
        <v>1.3770666457766201</v>
      </c>
      <c r="P42" s="79">
        <f>SUM(M41:O41)/SUM(M24:O24)</f>
        <v>1.4947016928816725</v>
      </c>
      <c r="Q42" s="64">
        <f>Q41/Q24</f>
        <v>1.3465108514190316</v>
      </c>
      <c r="R42" s="64">
        <f>R41/R24</f>
        <v>1.2756002352815357</v>
      </c>
      <c r="S42" s="64">
        <f>S41/S24</f>
        <v>1.2450275313822345</v>
      </c>
      <c r="T42" s="79">
        <f>SUM(Q41:S41)/SUM(Q24:S24)</f>
        <v>1.2892199493772458</v>
      </c>
      <c r="U42" s="171" t="s">
        <v>11</v>
      </c>
      <c r="V42" s="172">
        <f>U41/U24</f>
        <v>1.5537933207656305</v>
      </c>
    </row>
    <row r="43" spans="1:24" ht="30" customHeight="1" thickBot="1" x14ac:dyDescent="0.3">
      <c r="A43" s="106"/>
      <c r="B43" s="13"/>
      <c r="C43" s="14" t="s">
        <v>10</v>
      </c>
      <c r="D43" s="101"/>
      <c r="E43" s="53">
        <v>0.16400000000000001</v>
      </c>
      <c r="F43" s="66">
        <v>0.15</v>
      </c>
      <c r="G43" s="53">
        <v>0.161</v>
      </c>
      <c r="H43" s="83">
        <f>AVERAGE(E43:G43)</f>
        <v>0.15833333333333333</v>
      </c>
      <c r="I43" s="66">
        <v>0.14599999999999999</v>
      </c>
      <c r="J43" s="66">
        <v>0.14599999999999999</v>
      </c>
      <c r="K43" s="66">
        <v>0.14399999999999999</v>
      </c>
      <c r="L43" s="83">
        <f>AVERAGE(I43:K43)</f>
        <v>0.14533333333333331</v>
      </c>
      <c r="M43" s="66">
        <v>0.127</v>
      </c>
      <c r="N43" s="66">
        <v>0.112</v>
      </c>
      <c r="O43" s="66">
        <v>0.1</v>
      </c>
      <c r="P43" s="83">
        <f>AVERAGE(M43:O43)</f>
        <v>0.11299999999999999</v>
      </c>
      <c r="Q43" s="66">
        <v>9.7000000000000003E-2</v>
      </c>
      <c r="R43" s="84">
        <v>9.4E-2</v>
      </c>
      <c r="S43" s="84">
        <v>9.8000000000000004E-2</v>
      </c>
      <c r="T43" s="83">
        <f>AVERAGE(Q43:S43)</f>
        <v>9.633333333333334E-2</v>
      </c>
      <c r="U43" s="174" t="s">
        <v>11</v>
      </c>
      <c r="V43" s="175" t="e">
        <f>+U41/#REF!</f>
        <v>#REF!</v>
      </c>
    </row>
    <row r="44" spans="1:24" ht="12" thickTop="1" x14ac:dyDescent="0.25"/>
  </sheetData>
  <mergeCells count="5">
    <mergeCell ref="B14:B15"/>
    <mergeCell ref="B6:C7"/>
    <mergeCell ref="B8:C8"/>
    <mergeCell ref="B9:C9"/>
    <mergeCell ref="B12:B13"/>
  </mergeCells>
  <phoneticPr fontId="16" type="noConversion"/>
  <printOptions horizontalCentered="1"/>
  <pageMargins left="0" right="0" top="0" bottom="0.39370078740157483" header="0.51181102362204722" footer="0"/>
  <pageSetup paperSize="9" scale="46" orientation="landscape" horizontalDpi="4294967293" r:id="rId1"/>
  <headerFooter alignWithMargins="0">
    <oddFooter>&amp;LOpr. WSS - na podstawie danych KIR S.A.&amp;Rwww nbp.pl/ system płatniczy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X47"/>
  <sheetViews>
    <sheetView topLeftCell="A27" zoomScale="75" workbookViewId="0">
      <selection activeCell="C34" sqref="C34"/>
    </sheetView>
  </sheetViews>
  <sheetFormatPr defaultColWidth="9.09765625" defaultRowHeight="11.5" x14ac:dyDescent="0.25"/>
  <cols>
    <col min="1" max="1" width="5.69921875" style="3" customWidth="1"/>
    <col min="2" max="2" width="22.69921875" style="3" customWidth="1"/>
    <col min="3" max="3" width="44.09765625" style="3" customWidth="1"/>
    <col min="4" max="4" width="9.69921875" style="3" customWidth="1"/>
    <col min="5" max="7" width="14" style="3" customWidth="1"/>
    <col min="8" max="8" width="17.59765625" style="3" customWidth="1"/>
    <col min="9" max="11" width="14" style="3" customWidth="1"/>
    <col min="12" max="12" width="16.09765625" style="3" customWidth="1"/>
    <col min="13" max="15" width="15.09765625" style="3" customWidth="1"/>
    <col min="16" max="16" width="17.8984375" style="3" customWidth="1"/>
    <col min="17" max="19" width="14" style="3" customWidth="1"/>
    <col min="20" max="20" width="17.69921875" style="3" customWidth="1"/>
    <col min="21" max="21" width="17" style="3" customWidth="1"/>
    <col min="22" max="22" width="19.296875" style="3" customWidth="1"/>
    <col min="23" max="23" width="8.8984375" style="3" customWidth="1"/>
    <col min="24" max="16384" width="9.09765625" style="3"/>
  </cols>
  <sheetData>
    <row r="1" spans="1:22" ht="17.5" x14ac:dyDescent="0.35">
      <c r="A1" s="18" t="s">
        <v>41</v>
      </c>
      <c r="B1" s="18"/>
      <c r="C1" s="18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8"/>
    </row>
    <row r="2" spans="1:22" ht="17.5" x14ac:dyDescent="0.35">
      <c r="A2" s="18" t="s">
        <v>0</v>
      </c>
      <c r="B2" s="18"/>
      <c r="C2" s="18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</row>
    <row r="3" spans="1:22" ht="39" customHeight="1" x14ac:dyDescent="0.4">
      <c r="A3" s="4" t="s">
        <v>42</v>
      </c>
      <c r="B3" s="4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134" customFormat="1" ht="18.75" customHeight="1" x14ac:dyDescent="0.25">
      <c r="A4" s="131" t="s">
        <v>44</v>
      </c>
      <c r="B4" s="1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2" ht="42" customHeight="1" thickBot="1" x14ac:dyDescent="0.45">
      <c r="A5" s="7" t="s">
        <v>47</v>
      </c>
      <c r="B5" s="4"/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42" customHeight="1" thickTop="1" thickBot="1" x14ac:dyDescent="0.45">
      <c r="A6" s="112" t="s">
        <v>1</v>
      </c>
      <c r="B6" s="993" t="s">
        <v>2</v>
      </c>
      <c r="C6" s="993"/>
      <c r="D6" s="88" t="s">
        <v>3</v>
      </c>
      <c r="E6" s="142" t="s">
        <v>95</v>
      </c>
      <c r="F6" s="143" t="s">
        <v>96</v>
      </c>
      <c r="G6" s="142" t="s">
        <v>97</v>
      </c>
      <c r="H6" s="144" t="s">
        <v>54</v>
      </c>
      <c r="I6" s="143" t="s">
        <v>98</v>
      </c>
      <c r="J6" s="143" t="s">
        <v>99</v>
      </c>
      <c r="K6" s="143" t="s">
        <v>100</v>
      </c>
      <c r="L6" s="144" t="s">
        <v>55</v>
      </c>
      <c r="M6" s="143" t="s">
        <v>101</v>
      </c>
      <c r="N6" s="143" t="s">
        <v>102</v>
      </c>
      <c r="O6" s="143" t="s">
        <v>103</v>
      </c>
      <c r="P6" s="144" t="s">
        <v>56</v>
      </c>
      <c r="Q6" s="143" t="s">
        <v>104</v>
      </c>
      <c r="R6" s="143" t="s">
        <v>105</v>
      </c>
      <c r="S6" s="143" t="s">
        <v>106</v>
      </c>
      <c r="T6" s="144" t="s">
        <v>57</v>
      </c>
      <c r="U6" s="34" t="s">
        <v>46</v>
      </c>
      <c r="V6" s="145" t="s">
        <v>58</v>
      </c>
    </row>
    <row r="7" spans="1:22" ht="44.25" customHeight="1" thickTop="1" thickBot="1" x14ac:dyDescent="0.4">
      <c r="A7" s="102"/>
      <c r="B7" s="993"/>
      <c r="C7" s="993"/>
      <c r="D7" s="89" t="s">
        <v>4</v>
      </c>
      <c r="E7" s="16"/>
      <c r="F7" s="54"/>
      <c r="G7" s="16"/>
      <c r="H7" s="136" t="s">
        <v>45</v>
      </c>
      <c r="I7" s="137"/>
      <c r="J7" s="137"/>
      <c r="K7" s="137"/>
      <c r="L7" s="136" t="s">
        <v>45</v>
      </c>
      <c r="M7" s="137"/>
      <c r="N7" s="137"/>
      <c r="O7" s="137"/>
      <c r="P7" s="136" t="s">
        <v>45</v>
      </c>
      <c r="Q7" s="137"/>
      <c r="R7" s="137"/>
      <c r="S7" s="137"/>
      <c r="T7" s="136" t="s">
        <v>45</v>
      </c>
      <c r="U7" s="35" t="s">
        <v>53</v>
      </c>
      <c r="V7" s="19" t="s">
        <v>53</v>
      </c>
    </row>
    <row r="8" spans="1:22" ht="30" customHeight="1" thickTop="1" thickBot="1" x14ac:dyDescent="0.3">
      <c r="A8" s="103" t="s">
        <v>5</v>
      </c>
      <c r="B8" s="994" t="s">
        <v>6</v>
      </c>
      <c r="C8" s="994"/>
      <c r="D8" s="90"/>
      <c r="E8" s="41">
        <v>20</v>
      </c>
      <c r="F8" s="55">
        <v>20</v>
      </c>
      <c r="G8" s="41">
        <v>23</v>
      </c>
      <c r="H8" s="67">
        <f t="shared" ref="H8:H14" si="0">AVERAGE(E8:G8)</f>
        <v>21</v>
      </c>
      <c r="I8" s="55">
        <v>21</v>
      </c>
      <c r="J8" s="55">
        <v>20</v>
      </c>
      <c r="K8" s="55">
        <v>21</v>
      </c>
      <c r="L8" s="67">
        <f t="shared" ref="L8:L16" si="1">AVERAGE(I8:K8)</f>
        <v>20.666666666666668</v>
      </c>
      <c r="M8" s="55">
        <v>22</v>
      </c>
      <c r="N8" s="55">
        <v>22</v>
      </c>
      <c r="O8" s="55">
        <v>22</v>
      </c>
      <c r="P8" s="67">
        <f t="shared" ref="P8:P16" si="2">AVERAGE(M8:O8)</f>
        <v>22</v>
      </c>
      <c r="Q8" s="55">
        <v>21</v>
      </c>
      <c r="R8" s="55">
        <v>20</v>
      </c>
      <c r="S8" s="55">
        <v>22</v>
      </c>
      <c r="T8" s="67">
        <f>AVERAGE(Q8:S8)</f>
        <v>21</v>
      </c>
      <c r="U8" s="39">
        <f>SUM(E8:G8,I8:K8,M8:O8,Q8:S8)</f>
        <v>254</v>
      </c>
      <c r="V8" s="40">
        <f>AVERAGE(E8:G8,I8:K8,M8:O8,Q8:S8)</f>
        <v>21.166666666666668</v>
      </c>
    </row>
    <row r="9" spans="1:22" ht="30" customHeight="1" thickTop="1" thickBot="1" x14ac:dyDescent="0.3">
      <c r="A9" s="103" t="s">
        <v>7</v>
      </c>
      <c r="B9" s="994" t="s">
        <v>48</v>
      </c>
      <c r="C9" s="994"/>
      <c r="D9" s="90"/>
      <c r="E9" s="41">
        <v>68</v>
      </c>
      <c r="F9" s="55">
        <v>68</v>
      </c>
      <c r="G9" s="41">
        <v>69</v>
      </c>
      <c r="H9" s="67">
        <f t="shared" si="0"/>
        <v>68.333333333333329</v>
      </c>
      <c r="I9" s="55">
        <v>70</v>
      </c>
      <c r="J9" s="55">
        <v>70</v>
      </c>
      <c r="K9" s="55">
        <v>70</v>
      </c>
      <c r="L9" s="67">
        <f t="shared" si="1"/>
        <v>70</v>
      </c>
      <c r="M9" s="55">
        <v>69</v>
      </c>
      <c r="N9" s="55">
        <v>69</v>
      </c>
      <c r="O9" s="55">
        <v>69</v>
      </c>
      <c r="P9" s="67">
        <f t="shared" si="2"/>
        <v>69</v>
      </c>
      <c r="Q9" s="55">
        <v>69</v>
      </c>
      <c r="R9" s="55">
        <v>67</v>
      </c>
      <c r="S9" s="55">
        <v>67</v>
      </c>
      <c r="T9" s="67">
        <f>AVERAGE(Q9:S9)</f>
        <v>67.666666666666671</v>
      </c>
      <c r="U9" s="36" t="s">
        <v>11</v>
      </c>
      <c r="V9" s="40">
        <f>AVERAGE(E9:G9,I9:K9,M9:O9,Q9:S9)</f>
        <v>68.75</v>
      </c>
    </row>
    <row r="10" spans="1:22" ht="30" customHeight="1" thickTop="1" x14ac:dyDescent="0.35">
      <c r="A10" s="104" t="s">
        <v>12</v>
      </c>
      <c r="B10" s="129" t="s">
        <v>27</v>
      </c>
      <c r="C10" s="30" t="s">
        <v>8</v>
      </c>
      <c r="D10" s="91" t="s">
        <v>9</v>
      </c>
      <c r="E10" s="42">
        <v>86793.600000000006</v>
      </c>
      <c r="F10" s="56">
        <v>84682.8</v>
      </c>
      <c r="G10" s="42">
        <v>99736.5</v>
      </c>
      <c r="H10" s="68">
        <f>AVERAGE(E10:G10)</f>
        <v>90404.3</v>
      </c>
      <c r="I10" s="56">
        <v>91340.1</v>
      </c>
      <c r="J10" s="56">
        <v>88108.2</v>
      </c>
      <c r="K10" s="56">
        <v>89648.8</v>
      </c>
      <c r="L10" s="68">
        <f t="shared" si="1"/>
        <v>89699.033333333326</v>
      </c>
      <c r="M10" s="56">
        <v>89381.5</v>
      </c>
      <c r="N10" s="56">
        <v>85725.8</v>
      </c>
      <c r="O10" s="56">
        <v>88541.1</v>
      </c>
      <c r="P10" s="68">
        <f t="shared" si="2"/>
        <v>87882.8</v>
      </c>
      <c r="Q10" s="56">
        <v>82368.399999999994</v>
      </c>
      <c r="R10" s="56">
        <v>87765.2</v>
      </c>
      <c r="S10" s="56">
        <v>105183</v>
      </c>
      <c r="T10" s="68">
        <f>AVERAGE(Q10:S10)</f>
        <v>91772.2</v>
      </c>
      <c r="U10" s="146">
        <f>+S10+R10+Q10+O10+N10+M10+K10+J10+I10+G10+F10+E10</f>
        <v>1079275</v>
      </c>
      <c r="V10" s="147">
        <f>+U10/12</f>
        <v>89939.583333333328</v>
      </c>
    </row>
    <row r="11" spans="1:22" ht="30" customHeight="1" x14ac:dyDescent="0.25">
      <c r="A11" s="105"/>
      <c r="B11" s="130" t="s">
        <v>28</v>
      </c>
      <c r="C11" s="21" t="s">
        <v>10</v>
      </c>
      <c r="D11" s="92"/>
      <c r="E11" s="43">
        <v>0.45900000000000002</v>
      </c>
      <c r="F11" s="57">
        <v>0.44800000000000001</v>
      </c>
      <c r="G11" s="44">
        <v>0.438</v>
      </c>
      <c r="H11" s="69">
        <f>SUM(E10:G10)/SUM(E16:G16)</f>
        <v>0.4475266172441692</v>
      </c>
      <c r="I11" s="57">
        <v>0.42</v>
      </c>
      <c r="J11" s="57">
        <v>0.36799999999999999</v>
      </c>
      <c r="K11" s="57">
        <v>0.318</v>
      </c>
      <c r="L11" s="69">
        <f>SUM(I10:K10)/SUM(I16:K16)</f>
        <v>0.36435842911215954</v>
      </c>
      <c r="M11" s="57">
        <v>0.32800000000000001</v>
      </c>
      <c r="N11" s="57">
        <v>0.28599999999999998</v>
      </c>
      <c r="O11" s="57">
        <v>0.309</v>
      </c>
      <c r="P11" s="69">
        <f>SUM(M10:O10)/SUM(M16:O16)</f>
        <v>0.30708273475228592</v>
      </c>
      <c r="Q11" s="57">
        <v>0.33300000000000002</v>
      </c>
      <c r="R11" s="70">
        <v>0.317</v>
      </c>
      <c r="S11" s="70">
        <v>0.35699999999999998</v>
      </c>
      <c r="T11" s="69">
        <f>SUM(Q10:S10)/SUM(Q16:S16)</f>
        <v>0.33593679839443363</v>
      </c>
      <c r="U11" s="148" t="s">
        <v>11</v>
      </c>
      <c r="V11" s="149">
        <f>U10/U16</f>
        <v>0.35705851865815408</v>
      </c>
    </row>
    <row r="12" spans="1:22" ht="30" customHeight="1" x14ac:dyDescent="0.35">
      <c r="A12" s="105"/>
      <c r="B12" s="991" t="s">
        <v>29</v>
      </c>
      <c r="C12" s="24" t="s">
        <v>8</v>
      </c>
      <c r="D12" s="93" t="s">
        <v>9</v>
      </c>
      <c r="E12" s="45">
        <v>81347.399999999994</v>
      </c>
      <c r="F12" s="58">
        <v>84465.4</v>
      </c>
      <c r="G12" s="45">
        <v>105807.2</v>
      </c>
      <c r="H12" s="71">
        <f t="shared" si="0"/>
        <v>90540</v>
      </c>
      <c r="I12" s="58">
        <v>104969.3</v>
      </c>
      <c r="J12" s="58">
        <v>130085</v>
      </c>
      <c r="K12" s="58">
        <v>166931.70000000001</v>
      </c>
      <c r="L12" s="71">
        <f t="shared" si="1"/>
        <v>133995.33333333334</v>
      </c>
      <c r="M12" s="58">
        <v>158378.4</v>
      </c>
      <c r="N12" s="58">
        <v>193428.3</v>
      </c>
      <c r="O12" s="58">
        <v>172108.79999999999</v>
      </c>
      <c r="P12" s="71">
        <f t="shared" si="2"/>
        <v>174638.49999999997</v>
      </c>
      <c r="Q12" s="58">
        <v>141563.70000000001</v>
      </c>
      <c r="R12" s="58">
        <v>157228.4</v>
      </c>
      <c r="S12" s="58">
        <v>158420.29999999999</v>
      </c>
      <c r="T12" s="71">
        <f>AVERAGE(Q12:S12)</f>
        <v>152404.13333333333</v>
      </c>
      <c r="U12" s="150">
        <f>+S12+R12+Q12+O12+N12+M12+K12+J12+I12+G12+F12+E12</f>
        <v>1654733.9</v>
      </c>
      <c r="V12" s="151">
        <f>+U12/12</f>
        <v>137894.49166666667</v>
      </c>
    </row>
    <row r="13" spans="1:22" ht="30" customHeight="1" x14ac:dyDescent="0.25">
      <c r="A13" s="105"/>
      <c r="B13" s="991"/>
      <c r="C13" s="22" t="s">
        <v>10</v>
      </c>
      <c r="D13" s="94"/>
      <c r="E13" s="46">
        <v>0.43</v>
      </c>
      <c r="F13" s="59">
        <v>0.44700000000000001</v>
      </c>
      <c r="G13" s="46">
        <v>0.46400000000000002</v>
      </c>
      <c r="H13" s="72">
        <f>SUM(E12:G12)/SUM(E16:G16)</f>
        <v>0.44819837026874909</v>
      </c>
      <c r="I13" s="59">
        <v>0.48299999999999998</v>
      </c>
      <c r="J13" s="59">
        <v>0.54300000000000004</v>
      </c>
      <c r="K13" s="59">
        <v>0.59299999999999997</v>
      </c>
      <c r="L13" s="72">
        <f>SUM(I12:K12)/SUM(I16:K16)</f>
        <v>0.54429047167390721</v>
      </c>
      <c r="M13" s="59">
        <v>0.58199999999999996</v>
      </c>
      <c r="N13" s="59">
        <v>0.64500000000000002</v>
      </c>
      <c r="O13" s="59">
        <v>0.60099999999999998</v>
      </c>
      <c r="P13" s="72">
        <f>SUM(M12:O12)/SUM(M16:O16)</f>
        <v>0.61022712263420231</v>
      </c>
      <c r="Q13" s="59">
        <v>0.57099999999999995</v>
      </c>
      <c r="R13" s="73">
        <v>0.56799999999999995</v>
      </c>
      <c r="S13" s="73">
        <v>0.53700000000000003</v>
      </c>
      <c r="T13" s="72">
        <f>SUM(Q12:S12)/SUM(Q16:S16)</f>
        <v>0.55788306931814191</v>
      </c>
      <c r="U13" s="152" t="s">
        <v>11</v>
      </c>
      <c r="V13" s="153">
        <f>U12/U16</f>
        <v>0.54743863714755736</v>
      </c>
    </row>
    <row r="14" spans="1:22" ht="30" customHeight="1" x14ac:dyDescent="0.35">
      <c r="A14" s="105"/>
      <c r="B14" s="991" t="s">
        <v>30</v>
      </c>
      <c r="C14" s="23" t="s">
        <v>8</v>
      </c>
      <c r="D14" s="95" t="s">
        <v>9</v>
      </c>
      <c r="E14" s="47">
        <v>21037.4</v>
      </c>
      <c r="F14" s="60">
        <v>19740.099999999999</v>
      </c>
      <c r="G14" s="47">
        <v>22415.9</v>
      </c>
      <c r="H14" s="74">
        <f t="shared" si="0"/>
        <v>21064.466666666667</v>
      </c>
      <c r="I14" s="60">
        <v>21229.4</v>
      </c>
      <c r="J14" s="60">
        <v>21224.1</v>
      </c>
      <c r="K14" s="60">
        <v>25013.9</v>
      </c>
      <c r="L14" s="74">
        <f t="shared" si="1"/>
        <v>22489.133333333331</v>
      </c>
      <c r="M14" s="60">
        <v>24540</v>
      </c>
      <c r="N14" s="60">
        <v>20788.900000000001</v>
      </c>
      <c r="O14" s="60">
        <v>25665.4</v>
      </c>
      <c r="P14" s="74">
        <f t="shared" si="2"/>
        <v>23664.766666666666</v>
      </c>
      <c r="Q14" s="60">
        <v>23782.2</v>
      </c>
      <c r="R14" s="60">
        <v>31798.9</v>
      </c>
      <c r="S14" s="60">
        <v>31438.9</v>
      </c>
      <c r="T14" s="74">
        <f>AVERAGE(Q14:S14)</f>
        <v>29006.666666666668</v>
      </c>
      <c r="U14" s="150">
        <f>+S14+R14+Q14+O14+N14+M14+K14+J14+I14+G14+F14+E14</f>
        <v>288675.09999999998</v>
      </c>
      <c r="V14" s="154">
        <f>+U14/12</f>
        <v>24056.258333333331</v>
      </c>
    </row>
    <row r="15" spans="1:22" ht="30" customHeight="1" thickBot="1" x14ac:dyDescent="0.3">
      <c r="A15" s="106"/>
      <c r="B15" s="992"/>
      <c r="C15" s="31" t="s">
        <v>10</v>
      </c>
      <c r="D15" s="96"/>
      <c r="E15" s="48">
        <v>0.111</v>
      </c>
      <c r="F15" s="61">
        <v>0.105</v>
      </c>
      <c r="G15" s="48">
        <v>9.8000000000000004E-2</v>
      </c>
      <c r="H15" s="75">
        <f>SUM(E14:G14)/SUM(E16:G16)</f>
        <v>0.10427501248708185</v>
      </c>
      <c r="I15" s="61">
        <v>9.8000000000000004E-2</v>
      </c>
      <c r="J15" s="61">
        <v>8.8999999999999996E-2</v>
      </c>
      <c r="K15" s="61">
        <v>8.8999999999999996E-2</v>
      </c>
      <c r="L15" s="75">
        <f t="shared" si="1"/>
        <v>9.2000000000000012E-2</v>
      </c>
      <c r="M15" s="61">
        <v>0.09</v>
      </c>
      <c r="N15" s="61">
        <v>6.9000000000000006E-2</v>
      </c>
      <c r="O15" s="61">
        <v>0.09</v>
      </c>
      <c r="P15" s="75">
        <f>SUM(M14:O14)/SUM(M16:O16)</f>
        <v>8.2690142613511819E-2</v>
      </c>
      <c r="Q15" s="61">
        <v>9.6000000000000002E-2</v>
      </c>
      <c r="R15" s="76">
        <v>0.115</v>
      </c>
      <c r="S15" s="76">
        <v>0.107</v>
      </c>
      <c r="T15" s="75">
        <f>SUM(Q14:S14)/SUM(Q16:S16)</f>
        <v>0.10618037632414325</v>
      </c>
      <c r="U15" s="155" t="s">
        <v>11</v>
      </c>
      <c r="V15" s="156">
        <f>U14/U16</f>
        <v>9.550291036065367E-2</v>
      </c>
    </row>
    <row r="16" spans="1:22" ht="30" customHeight="1" thickTop="1" x14ac:dyDescent="0.25">
      <c r="A16" s="104" t="s">
        <v>17</v>
      </c>
      <c r="B16" s="113" t="s">
        <v>13</v>
      </c>
      <c r="C16" s="114" t="s">
        <v>8</v>
      </c>
      <c r="D16" s="115" t="s">
        <v>9</v>
      </c>
      <c r="E16" s="116">
        <v>189178.4</v>
      </c>
      <c r="F16" s="117">
        <v>188888.3</v>
      </c>
      <c r="G16" s="116">
        <v>227959.6</v>
      </c>
      <c r="H16" s="118">
        <f>AVERAGE(E16:G16)</f>
        <v>202008.76666666663</v>
      </c>
      <c r="I16" s="117">
        <v>217538.8</v>
      </c>
      <c r="J16" s="117">
        <v>239417.3</v>
      </c>
      <c r="K16" s="117">
        <v>281594.40000000002</v>
      </c>
      <c r="L16" s="118">
        <f t="shared" si="1"/>
        <v>246183.5</v>
      </c>
      <c r="M16" s="117">
        <v>272299.8</v>
      </c>
      <c r="N16" s="117">
        <v>299943.09999999998</v>
      </c>
      <c r="O16" s="117">
        <v>286315.3</v>
      </c>
      <c r="P16" s="118">
        <f t="shared" si="2"/>
        <v>286186.06666666665</v>
      </c>
      <c r="Q16" s="117">
        <v>247714.3</v>
      </c>
      <c r="R16" s="117">
        <v>276792.40000000002</v>
      </c>
      <c r="S16" s="117">
        <v>295042.09999999998</v>
      </c>
      <c r="T16" s="118">
        <f>AVERAGE(Q16:S16)</f>
        <v>273182.93333333329</v>
      </c>
      <c r="U16" s="157">
        <f>+S16+R16+Q16+O16+N16+M16+K16+J16+I16+G16+F16+E16</f>
        <v>3022683.8</v>
      </c>
      <c r="V16" s="158">
        <f>+U16/12</f>
        <v>251890.31666666665</v>
      </c>
    </row>
    <row r="17" spans="1:22" ht="30" customHeight="1" x14ac:dyDescent="0.25">
      <c r="A17" s="105"/>
      <c r="B17" s="10" t="s">
        <v>14</v>
      </c>
      <c r="C17" s="12" t="s">
        <v>15</v>
      </c>
      <c r="D17" s="98" t="s">
        <v>9</v>
      </c>
      <c r="E17" s="49">
        <f>E16/E8</f>
        <v>9458.92</v>
      </c>
      <c r="F17" s="62">
        <f>F16/F8</f>
        <v>9444.4149999999991</v>
      </c>
      <c r="G17" s="49">
        <f>G16/G8</f>
        <v>9911.2869565217388</v>
      </c>
      <c r="H17" s="77">
        <f>SUM(E16:G16)/SUM(E8:G8)</f>
        <v>9619.4650793650781</v>
      </c>
      <c r="I17" s="62">
        <f>I16/I8</f>
        <v>10358.990476190476</v>
      </c>
      <c r="J17" s="62">
        <f>J16/J8</f>
        <v>11970.865</v>
      </c>
      <c r="K17" s="62">
        <f>K16/K8</f>
        <v>13409.257142857145</v>
      </c>
      <c r="L17" s="77">
        <f>SUM(I16:K16)/SUM(I8:K8)</f>
        <v>11912.104838709678</v>
      </c>
      <c r="M17" s="62">
        <f>M16/M8</f>
        <v>12377.263636363636</v>
      </c>
      <c r="N17" s="62">
        <f>N16/N8</f>
        <v>13633.777272727271</v>
      </c>
      <c r="O17" s="62">
        <f>O16/O8</f>
        <v>13014.331818181818</v>
      </c>
      <c r="P17" s="77">
        <f>SUM(M16:O16)/SUM(M8:O8)</f>
        <v>13008.457575757575</v>
      </c>
      <c r="Q17" s="62">
        <f>Q16/Q8</f>
        <v>11795.919047619047</v>
      </c>
      <c r="R17" s="62">
        <f>R16/R8</f>
        <v>13839.62</v>
      </c>
      <c r="S17" s="62">
        <f>S16/S8</f>
        <v>13411.004545454545</v>
      </c>
      <c r="T17" s="77">
        <f>SUM(Q16:S16)/SUM(Q8:S8)</f>
        <v>13008.71111111111</v>
      </c>
      <c r="U17" s="159" t="s">
        <v>11</v>
      </c>
      <c r="V17" s="160">
        <f>U16/U8</f>
        <v>11900.329921259841</v>
      </c>
    </row>
    <row r="18" spans="1:22" ht="30" customHeight="1" x14ac:dyDescent="0.35">
      <c r="A18" s="107"/>
      <c r="B18" s="15" t="s">
        <v>36</v>
      </c>
      <c r="C18" s="23" t="s">
        <v>8</v>
      </c>
      <c r="D18" s="95" t="s">
        <v>9</v>
      </c>
      <c r="E18" s="47">
        <v>187986</v>
      </c>
      <c r="F18" s="60">
        <v>187783.1</v>
      </c>
      <c r="G18" s="47">
        <v>226560.5</v>
      </c>
      <c r="H18" s="74">
        <f>AVERAGE(E18:G18)</f>
        <v>200776.53333333333</v>
      </c>
      <c r="I18" s="60">
        <v>216157.7</v>
      </c>
      <c r="J18" s="60">
        <v>238127</v>
      </c>
      <c r="K18" s="60">
        <v>280201.90000000002</v>
      </c>
      <c r="L18" s="74">
        <f t="shared" ref="L18:L27" si="3">AVERAGE(I18:K18)</f>
        <v>244828.8666666667</v>
      </c>
      <c r="M18" s="60">
        <v>270891.2</v>
      </c>
      <c r="N18" s="60">
        <v>298600.09999999998</v>
      </c>
      <c r="O18" s="60">
        <f>282588.5</f>
        <v>282588.5</v>
      </c>
      <c r="P18" s="74">
        <f t="shared" ref="P18:P27" si="4">AVERAGE(M18:O18)</f>
        <v>284026.60000000003</v>
      </c>
      <c r="Q18" s="60">
        <v>245816</v>
      </c>
      <c r="R18" s="60">
        <v>269151.7</v>
      </c>
      <c r="S18" s="60">
        <v>293189.8</v>
      </c>
      <c r="T18" s="74">
        <f>AVERAGE(Q18:S18)</f>
        <v>269385.83333333331</v>
      </c>
      <c r="U18" s="150">
        <f>+S18+R18+Q18+O18+N18+M18+K18+J18+I18+G18+F18+E18</f>
        <v>2997053.5000000005</v>
      </c>
      <c r="V18" s="154">
        <f>+U18/12</f>
        <v>249754.45833333337</v>
      </c>
    </row>
    <row r="19" spans="1:22" ht="30" customHeight="1" x14ac:dyDescent="0.25">
      <c r="A19" s="108"/>
      <c r="B19" s="9" t="s">
        <v>32</v>
      </c>
      <c r="C19" s="26" t="s">
        <v>10</v>
      </c>
      <c r="D19" s="94"/>
      <c r="E19" s="46">
        <v>0.99399999999999999</v>
      </c>
      <c r="F19" s="59">
        <v>0.99399999999999999</v>
      </c>
      <c r="G19" s="46">
        <v>0.99399999999999999</v>
      </c>
      <c r="H19" s="72">
        <f>SUM(E18:G18)/SUM(E16:G16)</f>
        <v>0.99390009971514448</v>
      </c>
      <c r="I19" s="59">
        <v>0.99399999999999999</v>
      </c>
      <c r="J19" s="59">
        <v>0.995</v>
      </c>
      <c r="K19" s="59">
        <v>0.995</v>
      </c>
      <c r="L19" s="72">
        <f t="shared" si="3"/>
        <v>0.9946666666666667</v>
      </c>
      <c r="M19" s="59">
        <v>0.995</v>
      </c>
      <c r="N19" s="59">
        <v>0.996</v>
      </c>
      <c r="O19" s="59">
        <v>0.98699999999999999</v>
      </c>
      <c r="P19" s="72">
        <f t="shared" si="4"/>
        <v>0.9926666666666667</v>
      </c>
      <c r="Q19" s="59">
        <v>0.99199999999999999</v>
      </c>
      <c r="R19" s="73">
        <v>0.97199999999999998</v>
      </c>
      <c r="S19" s="59">
        <v>0.99399999999999999</v>
      </c>
      <c r="T19" s="72">
        <f>AVERAGE(Q19:S19)</f>
        <v>0.9860000000000001</v>
      </c>
      <c r="U19" s="152" t="s">
        <v>11</v>
      </c>
      <c r="V19" s="153">
        <f>+U18/U16</f>
        <v>0.99152068105833657</v>
      </c>
    </row>
    <row r="20" spans="1:22" ht="30" customHeight="1" x14ac:dyDescent="0.35">
      <c r="A20" s="107"/>
      <c r="B20" s="15" t="s">
        <v>36</v>
      </c>
      <c r="C20" s="23" t="s">
        <v>8</v>
      </c>
      <c r="D20" s="95" t="s">
        <v>9</v>
      </c>
      <c r="E20" s="47">
        <v>1192.4000000000001</v>
      </c>
      <c r="F20" s="60">
        <v>1105.2</v>
      </c>
      <c r="G20" s="47">
        <v>1399.1</v>
      </c>
      <c r="H20" s="74">
        <f>AVERAGE(E20:G20)</f>
        <v>1232.2333333333333</v>
      </c>
      <c r="I20" s="60">
        <v>1381.1</v>
      </c>
      <c r="J20" s="60">
        <v>1290.3</v>
      </c>
      <c r="K20" s="60">
        <v>1392.5</v>
      </c>
      <c r="L20" s="74">
        <f t="shared" si="3"/>
        <v>1354.6333333333332</v>
      </c>
      <c r="M20" s="60">
        <v>1408.6</v>
      </c>
      <c r="N20" s="60">
        <v>1343</v>
      </c>
      <c r="O20" s="60">
        <v>3726.8</v>
      </c>
      <c r="P20" s="74">
        <f t="shared" si="4"/>
        <v>2159.4666666666667</v>
      </c>
      <c r="Q20" s="60">
        <v>1898.3</v>
      </c>
      <c r="R20" s="60">
        <v>7640.7</v>
      </c>
      <c r="S20" s="60">
        <v>1852.4</v>
      </c>
      <c r="T20" s="74">
        <f>AVERAGE(Q20:S20)</f>
        <v>3797.1333333333332</v>
      </c>
      <c r="U20" s="150">
        <f>+S20+R20+Q20+O20+N20+M20+K20+J20+I20+G20+F20+E20</f>
        <v>25630.399999999998</v>
      </c>
      <c r="V20" s="154">
        <f>+U20/12</f>
        <v>2135.8666666666663</v>
      </c>
    </row>
    <row r="21" spans="1:22" ht="30" customHeight="1" thickBot="1" x14ac:dyDescent="0.3">
      <c r="A21" s="109"/>
      <c r="B21" s="32" t="s">
        <v>31</v>
      </c>
      <c r="C21" s="33" t="s">
        <v>10</v>
      </c>
      <c r="D21" s="96"/>
      <c r="E21" s="48">
        <v>6.0000000000000001E-3</v>
      </c>
      <c r="F21" s="61">
        <v>6.0000000000000001E-3</v>
      </c>
      <c r="G21" s="48">
        <v>6.0000000000000001E-3</v>
      </c>
      <c r="H21" s="75">
        <f>AVERAGE(E21:G21)</f>
        <v>6.000000000000001E-3</v>
      </c>
      <c r="I21" s="61">
        <v>6.0000000000000001E-3</v>
      </c>
      <c r="J21" s="61">
        <v>5.0000000000000001E-3</v>
      </c>
      <c r="K21" s="61">
        <v>5.0000000000000001E-3</v>
      </c>
      <c r="L21" s="75">
        <f t="shared" si="3"/>
        <v>5.3333333333333332E-3</v>
      </c>
      <c r="M21" s="61">
        <v>5.0000000000000001E-3</v>
      </c>
      <c r="N21" s="61">
        <v>4.0000000000000001E-3</v>
      </c>
      <c r="O21" s="61">
        <v>1.2999999999999999E-2</v>
      </c>
      <c r="P21" s="75">
        <f t="shared" si="4"/>
        <v>7.3333333333333332E-3</v>
      </c>
      <c r="Q21" s="61">
        <v>8.0000000000000002E-3</v>
      </c>
      <c r="R21" s="76">
        <v>2.8000000000000001E-2</v>
      </c>
      <c r="S21" s="76">
        <v>6.0000000000000001E-3</v>
      </c>
      <c r="T21" s="75">
        <f>AVERAGE(Q21:S21)</f>
        <v>1.4E-2</v>
      </c>
      <c r="U21" s="155" t="s">
        <v>11</v>
      </c>
      <c r="V21" s="156">
        <f>+U20/U16</f>
        <v>8.4793520248462647E-3</v>
      </c>
    </row>
    <row r="22" spans="1:22" ht="30" customHeight="1" thickTop="1" x14ac:dyDescent="0.25">
      <c r="A22" s="104" t="s">
        <v>24</v>
      </c>
      <c r="B22" s="113" t="s">
        <v>37</v>
      </c>
      <c r="C22" s="114" t="s">
        <v>19</v>
      </c>
      <c r="D22" s="115" t="s">
        <v>16</v>
      </c>
      <c r="E22" s="116">
        <f>+E24+E26</f>
        <v>14570.8</v>
      </c>
      <c r="F22" s="117">
        <f>+F24+F26</f>
        <v>19328.8</v>
      </c>
      <c r="G22" s="116">
        <f>+G24+G26</f>
        <v>22832.799999999999</v>
      </c>
      <c r="H22" s="118">
        <f>+(E22+F22+G22)/3</f>
        <v>18910.8</v>
      </c>
      <c r="I22" s="117">
        <f>+I24+I26</f>
        <v>21637.399999999998</v>
      </c>
      <c r="J22" s="117">
        <f>+J24+J26</f>
        <v>21798.300000000003</v>
      </c>
      <c r="K22" s="117">
        <f>+K24+K26</f>
        <v>22638.9</v>
      </c>
      <c r="L22" s="118">
        <f>+(I22+J22+K22)/3</f>
        <v>22024.866666666669</v>
      </c>
      <c r="M22" s="117">
        <f>+M24+M26</f>
        <v>23417.399999999998</v>
      </c>
      <c r="N22" s="117">
        <f>+N24+N26</f>
        <v>22826.799999999999</v>
      </c>
      <c r="O22" s="117">
        <f>+O24+O26</f>
        <v>23457</v>
      </c>
      <c r="P22" s="118">
        <f>+(M22+N22+O22)/3</f>
        <v>23233.733333333334</v>
      </c>
      <c r="Q22" s="117">
        <f>+Q24+Q26</f>
        <v>24099.200000000001</v>
      </c>
      <c r="R22" s="117">
        <f>+R24+R26</f>
        <v>24475.600000000002</v>
      </c>
      <c r="S22" s="117">
        <f>+S24+S26</f>
        <v>27490.899999999998</v>
      </c>
      <c r="T22" s="118">
        <f>+(Q22+R22+S22)/3</f>
        <v>25355.233333333334</v>
      </c>
      <c r="U22" s="157">
        <f>+S22+R22+Q22+O22+N22+M22+K22+J22+I22+G22+F22+E22</f>
        <v>268573.89999999997</v>
      </c>
      <c r="V22" s="161">
        <f>+U22/12</f>
        <v>22381.158333333329</v>
      </c>
    </row>
    <row r="23" spans="1:22" ht="30" customHeight="1" x14ac:dyDescent="0.25">
      <c r="A23" s="105"/>
      <c r="B23" s="10" t="s">
        <v>14</v>
      </c>
      <c r="C23" s="29" t="s">
        <v>38</v>
      </c>
      <c r="D23" s="99" t="s">
        <v>16</v>
      </c>
      <c r="E23" s="50">
        <f>+E22/E8</f>
        <v>728.54</v>
      </c>
      <c r="F23" s="63">
        <f>+F22/F8</f>
        <v>966.43999999999994</v>
      </c>
      <c r="G23" s="50">
        <f>+G22/G8</f>
        <v>992.73043478260865</v>
      </c>
      <c r="H23" s="78">
        <f>+(E22+F22+G22)/(E8+F8+G8)</f>
        <v>900.51428571428562</v>
      </c>
      <c r="I23" s="63">
        <f>+I22/I8</f>
        <v>1030.3523809523808</v>
      </c>
      <c r="J23" s="63">
        <f>+J22/J8</f>
        <v>1089.9150000000002</v>
      </c>
      <c r="K23" s="63">
        <f>+K22/K8</f>
        <v>1078.0428571428572</v>
      </c>
      <c r="L23" s="78">
        <f>+(I22+J22+K22)/(I8+J8+K8)</f>
        <v>1065.7193548387097</v>
      </c>
      <c r="M23" s="63">
        <f>+M22/M8</f>
        <v>1064.4272727272726</v>
      </c>
      <c r="N23" s="63">
        <f>+N22/N8</f>
        <v>1037.5818181818181</v>
      </c>
      <c r="O23" s="63">
        <f>+O22/O8</f>
        <v>1066.2272727272727</v>
      </c>
      <c r="P23" s="78">
        <f>+(M22+N22+O22)/(M8+N8+O8)</f>
        <v>1056.0787878787878</v>
      </c>
      <c r="Q23" s="63">
        <f>+Q22/Q8</f>
        <v>1147.5809523809523</v>
      </c>
      <c r="R23" s="63">
        <f>+R22/R8</f>
        <v>1223.7800000000002</v>
      </c>
      <c r="S23" s="63">
        <f>+S22/S8</f>
        <v>1249.5863636363636</v>
      </c>
      <c r="T23" s="78">
        <f>+(Q22+R22+S22)/(Q8+R8+S8)</f>
        <v>1207.3920634920635</v>
      </c>
      <c r="U23" s="162"/>
      <c r="V23" s="163">
        <f>+U22/U8</f>
        <v>1057.3775590551179</v>
      </c>
    </row>
    <row r="24" spans="1:22" ht="30" customHeight="1" x14ac:dyDescent="0.35">
      <c r="A24" s="107"/>
      <c r="B24" s="15" t="s">
        <v>36</v>
      </c>
      <c r="C24" s="86" t="s">
        <v>49</v>
      </c>
      <c r="D24" s="95" t="s">
        <v>16</v>
      </c>
      <c r="E24" s="47">
        <v>14266</v>
      </c>
      <c r="F24" s="60">
        <v>19011.2</v>
      </c>
      <c r="G24" s="47">
        <v>22450.1</v>
      </c>
      <c r="H24" s="74">
        <f t="shared" ref="H24:H29" si="5">AVERAGE(E24:G24)</f>
        <v>18575.766666666666</v>
      </c>
      <c r="I24" s="60">
        <v>21299.1</v>
      </c>
      <c r="J24" s="60">
        <v>21472.9</v>
      </c>
      <c r="K24" s="60">
        <v>22293.7</v>
      </c>
      <c r="L24" s="74">
        <f>AVERAGE(I24:K24)</f>
        <v>21688.566666666666</v>
      </c>
      <c r="M24" s="60">
        <v>23002.6</v>
      </c>
      <c r="N24" s="60">
        <v>22345.200000000001</v>
      </c>
      <c r="O24" s="60">
        <v>22999.599999999999</v>
      </c>
      <c r="P24" s="74">
        <f>AVERAGE(M24:O24)</f>
        <v>22782.466666666664</v>
      </c>
      <c r="Q24" s="60">
        <v>23640.9</v>
      </c>
      <c r="R24" s="60">
        <v>24001.9</v>
      </c>
      <c r="S24" s="60">
        <v>27014.799999999999</v>
      </c>
      <c r="T24" s="74">
        <f t="shared" ref="T24:T29" si="6">AVERAGE(Q24:S24)</f>
        <v>24885.866666666669</v>
      </c>
      <c r="U24" s="150">
        <f>+S24+R24+Q24+O24+N24+M24+K24+J24+I24+G24+F24+E24</f>
        <v>263798</v>
      </c>
      <c r="V24" s="154">
        <f>+U24/12</f>
        <v>21983.166666666668</v>
      </c>
    </row>
    <row r="25" spans="1:22" ht="30" customHeight="1" x14ac:dyDescent="0.25">
      <c r="A25" s="108"/>
      <c r="B25" s="9" t="s">
        <v>32</v>
      </c>
      <c r="C25" s="20" t="s">
        <v>50</v>
      </c>
      <c r="D25" s="94"/>
      <c r="E25" s="46">
        <v>0.97899999999999998</v>
      </c>
      <c r="F25" s="59">
        <v>0.98399999999999999</v>
      </c>
      <c r="G25" s="46">
        <v>0.98299999999999998</v>
      </c>
      <c r="H25" s="72">
        <f t="shared" si="5"/>
        <v>0.9820000000000001</v>
      </c>
      <c r="I25" s="59">
        <v>0.98399999999999999</v>
      </c>
      <c r="J25" s="59">
        <v>0.98499999999999999</v>
      </c>
      <c r="K25" s="59">
        <v>0.98499999999999999</v>
      </c>
      <c r="L25" s="72">
        <f>AVERAGE(I25:K25)</f>
        <v>0.98466666666666658</v>
      </c>
      <c r="M25" s="59">
        <v>0.98199999999999998</v>
      </c>
      <c r="N25" s="59">
        <v>0.97899999999999998</v>
      </c>
      <c r="O25" s="59">
        <v>0.98099999999999998</v>
      </c>
      <c r="P25" s="72">
        <f>AVERAGE(M25:O25)</f>
        <v>0.98066666666666658</v>
      </c>
      <c r="Q25" s="59">
        <v>0.98099999999999998</v>
      </c>
      <c r="R25" s="73">
        <v>0.98099999999999998</v>
      </c>
      <c r="S25" s="59">
        <v>0.98299999999999998</v>
      </c>
      <c r="T25" s="72">
        <f t="shared" si="6"/>
        <v>0.98166666666666658</v>
      </c>
      <c r="U25" s="164" t="s">
        <v>11</v>
      </c>
      <c r="V25" s="165">
        <f>+U24/U22</f>
        <v>0.98221755725332971</v>
      </c>
    </row>
    <row r="26" spans="1:22" ht="30" customHeight="1" x14ac:dyDescent="0.35">
      <c r="A26" s="107"/>
      <c r="B26" s="15" t="s">
        <v>36</v>
      </c>
      <c r="C26" s="87" t="s">
        <v>49</v>
      </c>
      <c r="D26" s="95" t="s">
        <v>16</v>
      </c>
      <c r="E26" s="47">
        <v>304.8</v>
      </c>
      <c r="F26" s="60">
        <v>317.60000000000002</v>
      </c>
      <c r="G26" s="47">
        <v>382.7</v>
      </c>
      <c r="H26" s="74">
        <f t="shared" si="5"/>
        <v>335.03333333333336</v>
      </c>
      <c r="I26" s="60">
        <v>338.3</v>
      </c>
      <c r="J26" s="60">
        <v>325.39999999999998</v>
      </c>
      <c r="K26" s="60">
        <v>345.2</v>
      </c>
      <c r="L26" s="74">
        <f t="shared" si="3"/>
        <v>336.3</v>
      </c>
      <c r="M26" s="60">
        <v>414.8</v>
      </c>
      <c r="N26" s="60">
        <v>481.6</v>
      </c>
      <c r="O26" s="60">
        <v>457.4</v>
      </c>
      <c r="P26" s="74">
        <f t="shared" si="4"/>
        <v>451.26666666666671</v>
      </c>
      <c r="Q26" s="60">
        <v>458.3</v>
      </c>
      <c r="R26" s="60">
        <v>473.7</v>
      </c>
      <c r="S26" s="60">
        <v>476.1</v>
      </c>
      <c r="T26" s="74">
        <f t="shared" si="6"/>
        <v>469.36666666666662</v>
      </c>
      <c r="U26" s="150">
        <f>+S26+R26+Q26+O26+N26+M26+K26+J26+I26+G26+F26+E26</f>
        <v>4775.9000000000005</v>
      </c>
      <c r="V26" s="166">
        <f>+U26/12</f>
        <v>397.99166666666673</v>
      </c>
    </row>
    <row r="27" spans="1:22" ht="30" customHeight="1" thickBot="1" x14ac:dyDescent="0.3">
      <c r="A27" s="109"/>
      <c r="B27" s="32" t="s">
        <v>31</v>
      </c>
      <c r="C27" s="33" t="s">
        <v>50</v>
      </c>
      <c r="D27" s="96"/>
      <c r="E27" s="48">
        <v>2.1000000000000001E-2</v>
      </c>
      <c r="F27" s="61">
        <v>1.6E-2</v>
      </c>
      <c r="G27" s="48">
        <v>1.7000000000000001E-2</v>
      </c>
      <c r="H27" s="75">
        <f t="shared" si="5"/>
        <v>1.8000000000000002E-2</v>
      </c>
      <c r="I27" s="61">
        <v>1.6E-2</v>
      </c>
      <c r="J27" s="61">
        <v>1.4999999999999999E-2</v>
      </c>
      <c r="K27" s="61">
        <v>1.4999999999999999E-2</v>
      </c>
      <c r="L27" s="75">
        <f t="shared" si="3"/>
        <v>1.5333333333333332E-2</v>
      </c>
      <c r="M27" s="61">
        <v>1.7999999999999999E-2</v>
      </c>
      <c r="N27" s="61">
        <v>2.1000000000000001E-2</v>
      </c>
      <c r="O27" s="61">
        <v>1.9E-2</v>
      </c>
      <c r="P27" s="75">
        <f t="shared" si="4"/>
        <v>1.9333333333333331E-2</v>
      </c>
      <c r="Q27" s="61">
        <v>1.9E-2</v>
      </c>
      <c r="R27" s="76">
        <v>1.9E-2</v>
      </c>
      <c r="S27" s="76">
        <v>1.7000000000000001E-2</v>
      </c>
      <c r="T27" s="75">
        <f t="shared" si="6"/>
        <v>1.8333333333333333E-2</v>
      </c>
      <c r="U27" s="167" t="s">
        <v>11</v>
      </c>
      <c r="V27" s="168">
        <f>+U26/U22</f>
        <v>1.7782442746670474E-2</v>
      </c>
    </row>
    <row r="28" spans="1:22" ht="30" customHeight="1" thickTop="1" x14ac:dyDescent="0.25">
      <c r="A28" s="104" t="s">
        <v>33</v>
      </c>
      <c r="B28" s="113" t="s">
        <v>34</v>
      </c>
      <c r="C28" s="177" t="s">
        <v>18</v>
      </c>
      <c r="D28" s="97"/>
      <c r="E28" s="178">
        <v>2168</v>
      </c>
      <c r="F28" s="179">
        <v>2189</v>
      </c>
      <c r="G28" s="178">
        <v>2198</v>
      </c>
      <c r="H28" s="180">
        <f t="shared" si="5"/>
        <v>2185</v>
      </c>
      <c r="I28" s="179">
        <v>2213</v>
      </c>
      <c r="J28" s="179">
        <v>2224</v>
      </c>
      <c r="K28" s="179">
        <v>2232</v>
      </c>
      <c r="L28" s="180">
        <f>AVERAGE(I28:K28)</f>
        <v>2223</v>
      </c>
      <c r="M28" s="179">
        <v>2234</v>
      </c>
      <c r="N28" s="179">
        <v>2238</v>
      </c>
      <c r="O28" s="179">
        <v>2243</v>
      </c>
      <c r="P28" s="180">
        <f>AVERAGE(M28:O28)</f>
        <v>2238.3333333333335</v>
      </c>
      <c r="Q28" s="179">
        <v>2251</v>
      </c>
      <c r="R28" s="179">
        <v>2269</v>
      </c>
      <c r="S28" s="179">
        <v>2276</v>
      </c>
      <c r="T28" s="180">
        <f t="shared" si="6"/>
        <v>2265.3333333333335</v>
      </c>
      <c r="U28" s="181" t="s">
        <v>11</v>
      </c>
      <c r="V28" s="182">
        <f>AVERAGE(E28:G28,I28:K28,M28:O28,Q28:S28)</f>
        <v>2227.9166666666665</v>
      </c>
    </row>
    <row r="29" spans="1:22" ht="30" customHeight="1" x14ac:dyDescent="0.25">
      <c r="A29" s="110"/>
      <c r="B29" s="11"/>
      <c r="C29" s="119" t="s">
        <v>19</v>
      </c>
      <c r="D29" s="120" t="s">
        <v>16</v>
      </c>
      <c r="E29" s="121">
        <v>4400.3999999999996</v>
      </c>
      <c r="F29" s="122">
        <v>8923.7999999999993</v>
      </c>
      <c r="G29" s="121">
        <v>10281.200000000001</v>
      </c>
      <c r="H29" s="123">
        <f t="shared" si="5"/>
        <v>7868.4666666666672</v>
      </c>
      <c r="I29" s="122">
        <v>10184.799999999999</v>
      </c>
      <c r="J29" s="122">
        <v>10516.5</v>
      </c>
      <c r="K29" s="122">
        <v>11012</v>
      </c>
      <c r="L29" s="123">
        <f>AVERAGE(I29:K29)</f>
        <v>10571.1</v>
      </c>
      <c r="M29" s="122">
        <v>11529.4</v>
      </c>
      <c r="N29" s="122">
        <v>11522.7</v>
      </c>
      <c r="O29" s="122">
        <v>11793.6</v>
      </c>
      <c r="P29" s="123">
        <f>AVERAGE(M29:O29)</f>
        <v>11615.233333333332</v>
      </c>
      <c r="Q29" s="122">
        <v>12497.6</v>
      </c>
      <c r="R29" s="122">
        <v>12972.6</v>
      </c>
      <c r="S29" s="122">
        <v>14714.7</v>
      </c>
      <c r="T29" s="123">
        <f t="shared" si="6"/>
        <v>13394.966666666667</v>
      </c>
      <c r="U29" s="169">
        <f>+S29+R29+Q29+O29+N29+M29+K29+J29+I29+G29+F29+E29</f>
        <v>130349.29999999999</v>
      </c>
      <c r="V29" s="170">
        <f>+U29/12</f>
        <v>10862.441666666666</v>
      </c>
    </row>
    <row r="30" spans="1:22" ht="30" customHeight="1" x14ac:dyDescent="0.25">
      <c r="A30" s="110"/>
      <c r="B30" s="11"/>
      <c r="C30" s="2" t="s">
        <v>20</v>
      </c>
      <c r="D30" s="100" t="s">
        <v>16</v>
      </c>
      <c r="E30" s="51">
        <f>E29/E8</f>
        <v>220.01999999999998</v>
      </c>
      <c r="F30" s="64">
        <f>F29/F8</f>
        <v>446.18999999999994</v>
      </c>
      <c r="G30" s="51">
        <f>G29/G8</f>
        <v>447.00869565217397</v>
      </c>
      <c r="H30" s="79">
        <f>SUM(E29:G29)/SUM(E8:G8)</f>
        <v>374.68888888888893</v>
      </c>
      <c r="I30" s="64">
        <f>I29/I8</f>
        <v>484.99047619047616</v>
      </c>
      <c r="J30" s="64">
        <f>J29/J8</f>
        <v>525.82500000000005</v>
      </c>
      <c r="K30" s="64">
        <f>K29/K8</f>
        <v>524.38095238095241</v>
      </c>
      <c r="L30" s="79">
        <f>SUM(I29:K29)/SUM(I8:K8)</f>
        <v>511.50483870967741</v>
      </c>
      <c r="M30" s="64">
        <f>M29/M8</f>
        <v>524.06363636363631</v>
      </c>
      <c r="N30" s="64">
        <f>N29/N8</f>
        <v>523.7590909090909</v>
      </c>
      <c r="O30" s="64">
        <f>O29/O8</f>
        <v>536.07272727272732</v>
      </c>
      <c r="P30" s="79">
        <f>SUM(M29:O29)/SUM(M8:O8)</f>
        <v>527.96515151515143</v>
      </c>
      <c r="Q30" s="64">
        <f>Q29/Q8</f>
        <v>595.12380952380954</v>
      </c>
      <c r="R30" s="64">
        <f>R29/R8</f>
        <v>648.63</v>
      </c>
      <c r="S30" s="64">
        <f>S29/S8</f>
        <v>668.85</v>
      </c>
      <c r="T30" s="79">
        <f>SUM(Q29:S29)/SUM(Q8:S8)</f>
        <v>637.85555555555561</v>
      </c>
      <c r="U30" s="171" t="s">
        <v>25</v>
      </c>
      <c r="V30" s="172">
        <f>U29/U8</f>
        <v>513.18622047244094</v>
      </c>
    </row>
    <row r="31" spans="1:22" ht="30" customHeight="1" x14ac:dyDescent="0.25">
      <c r="A31" s="110"/>
      <c r="B31" s="11"/>
      <c r="C31" s="2" t="s">
        <v>21</v>
      </c>
      <c r="D31" s="100"/>
      <c r="E31" s="52">
        <v>0.222</v>
      </c>
      <c r="F31" s="65">
        <v>0.36099999999999999</v>
      </c>
      <c r="G31" s="52">
        <v>0.35199999999999998</v>
      </c>
      <c r="H31" s="80">
        <f>AVERAGE(E31:G31)</f>
        <v>0.31166666666666665</v>
      </c>
      <c r="I31" s="65">
        <v>0.373</v>
      </c>
      <c r="J31" s="65">
        <v>0.38900000000000001</v>
      </c>
      <c r="K31" s="65">
        <v>0.39300000000000002</v>
      </c>
      <c r="L31" s="80">
        <f>AVERAGE(I31:K31)</f>
        <v>0.38500000000000001</v>
      </c>
      <c r="M31" s="65">
        <v>0.39500000000000002</v>
      </c>
      <c r="N31" s="65">
        <v>0.40200000000000002</v>
      </c>
      <c r="O31" s="65">
        <v>0.40600000000000003</v>
      </c>
      <c r="P31" s="80">
        <f>AVERAGE(M31:O31)</f>
        <v>0.40100000000000002</v>
      </c>
      <c r="Q31" s="65">
        <v>0.42399999999999999</v>
      </c>
      <c r="R31" s="81">
        <v>0.441</v>
      </c>
      <c r="S31" s="81">
        <v>0.44800000000000001</v>
      </c>
      <c r="T31" s="80">
        <f>AVERAGE(Q31:S31)</f>
        <v>0.43766666666666665</v>
      </c>
      <c r="U31" s="171" t="s">
        <v>11</v>
      </c>
      <c r="V31" s="173">
        <f>+U29/U22</f>
        <v>0.48533867214945309</v>
      </c>
    </row>
    <row r="32" spans="1:22" ht="30" customHeight="1" x14ac:dyDescent="0.25">
      <c r="A32" s="110"/>
      <c r="B32" s="11"/>
      <c r="C32" s="2" t="s">
        <v>22</v>
      </c>
      <c r="D32" s="100" t="s">
        <v>23</v>
      </c>
      <c r="E32" s="51">
        <v>31.1</v>
      </c>
      <c r="F32" s="64">
        <v>15.5</v>
      </c>
      <c r="G32" s="51">
        <v>16.5</v>
      </c>
      <c r="H32" s="79">
        <f>AVERAGE(E32:G32)</f>
        <v>21.033333333333335</v>
      </c>
      <c r="I32" s="64">
        <v>16.2</v>
      </c>
      <c r="J32" s="64">
        <v>17.899999999999999</v>
      </c>
      <c r="K32" s="64">
        <v>21.1</v>
      </c>
      <c r="L32" s="79">
        <f>SUM(I33:K33)/SUM(I29:K29)</f>
        <v>18.466205030696901</v>
      </c>
      <c r="M32" s="64">
        <v>19.3</v>
      </c>
      <c r="N32" s="64">
        <v>21.8</v>
      </c>
      <c r="O32" s="64">
        <v>19.8</v>
      </c>
      <c r="P32" s="79">
        <f>SUM(M33:O33)/SUM(M29:O29)</f>
        <v>20.300375656106784</v>
      </c>
      <c r="Q32" s="64">
        <f>Q33/Q29</f>
        <v>15.986549417488158</v>
      </c>
      <c r="R32" s="64">
        <f>R33/R29</f>
        <v>17.161494226292341</v>
      </c>
      <c r="S32" s="64">
        <f>S33/S29</f>
        <v>16.157835361916995</v>
      </c>
      <c r="T32" s="79">
        <f>SUM(Q33:S33)/SUM(Q29:S29)</f>
        <v>16.428568940074506</v>
      </c>
      <c r="U32" s="162" t="s">
        <v>11</v>
      </c>
      <c r="V32" s="172">
        <f>AVERAGE(E32:G32,I32:K32,M32:O32,Q32:S32)</f>
        <v>19.042156583808126</v>
      </c>
    </row>
    <row r="33" spans="1:24" ht="30" customHeight="1" x14ac:dyDescent="0.25">
      <c r="A33" s="110"/>
      <c r="B33" s="11"/>
      <c r="C33" s="124" t="s">
        <v>26</v>
      </c>
      <c r="D33" s="125" t="s">
        <v>9</v>
      </c>
      <c r="E33" s="126">
        <v>136679.29999999999</v>
      </c>
      <c r="F33" s="127">
        <v>138412.70000000001</v>
      </c>
      <c r="G33" s="126">
        <v>169766.6</v>
      </c>
      <c r="H33" s="128">
        <f>AVERAGE(E33:G33)</f>
        <v>148286.19999999998</v>
      </c>
      <c r="I33" s="127">
        <v>164946.5</v>
      </c>
      <c r="J33" s="127">
        <v>188755.3</v>
      </c>
      <c r="K33" s="127">
        <v>231922.5</v>
      </c>
      <c r="L33" s="128">
        <f>AVERAGE(I33:K33)</f>
        <v>195208.1</v>
      </c>
      <c r="M33" s="127">
        <v>222442.2</v>
      </c>
      <c r="N33" s="127">
        <v>251661.9</v>
      </c>
      <c r="O33" s="127">
        <v>233276.7</v>
      </c>
      <c r="P33" s="128">
        <f>AVERAGE(M33:O33)</f>
        <v>235793.6</v>
      </c>
      <c r="Q33" s="127">
        <v>199793.5</v>
      </c>
      <c r="R33" s="127">
        <v>222629.2</v>
      </c>
      <c r="S33" s="127">
        <v>237757.7</v>
      </c>
      <c r="T33" s="128">
        <f>AVERAGE(Q33:S33)</f>
        <v>220060.13333333333</v>
      </c>
      <c r="U33" s="169">
        <f>+S33+R33+Q33+O33+N33+M33+K33+J33+I33+G33+F33+E33</f>
        <v>2398044.1</v>
      </c>
      <c r="V33" s="176">
        <f>+U33/12</f>
        <v>199837.00833333333</v>
      </c>
    </row>
    <row r="34" spans="1:24" ht="30" customHeight="1" x14ac:dyDescent="0.25">
      <c r="A34" s="110"/>
      <c r="B34" s="11"/>
      <c r="C34" s="2"/>
      <c r="D34" s="100" t="s">
        <v>9</v>
      </c>
      <c r="E34" s="51">
        <f>E33/E8</f>
        <v>6833.9649999999992</v>
      </c>
      <c r="F34" s="64">
        <f>F33/F8</f>
        <v>6920.6350000000002</v>
      </c>
      <c r="G34" s="51">
        <f>G33/G8</f>
        <v>7381.1565217391308</v>
      </c>
      <c r="H34" s="79">
        <f>SUM(E33:G33)/SUM(E8:G8)</f>
        <v>7061.2476190476191</v>
      </c>
      <c r="I34" s="64">
        <f>I33/I8</f>
        <v>7854.5952380952385</v>
      </c>
      <c r="J34" s="64">
        <f>J33/J8</f>
        <v>9437.7649999999994</v>
      </c>
      <c r="K34" s="64">
        <f>K33/K8</f>
        <v>11043.928571428571</v>
      </c>
      <c r="L34" s="79">
        <f>SUM(I33:K33)/SUM(I8:K8)</f>
        <v>9445.5532258064522</v>
      </c>
      <c r="M34" s="64">
        <f>M33/M8</f>
        <v>10111.009090909092</v>
      </c>
      <c r="N34" s="64">
        <f>N33/N8</f>
        <v>11439.177272727273</v>
      </c>
      <c r="O34" s="64">
        <f>O33/O8</f>
        <v>10603.486363636364</v>
      </c>
      <c r="P34" s="79">
        <f>SUM(M33:O33)/SUM(M8:O8)</f>
        <v>10717.890909090909</v>
      </c>
      <c r="Q34" s="64">
        <f>Q33/Q8</f>
        <v>9513.9761904761908</v>
      </c>
      <c r="R34" s="64">
        <f>R33/R8</f>
        <v>11131.460000000001</v>
      </c>
      <c r="S34" s="64">
        <f>S33/S8</f>
        <v>10807.168181818182</v>
      </c>
      <c r="T34" s="79">
        <f>SUM(Q33:S33)/SUM(Q8:S8)</f>
        <v>10479.053968253969</v>
      </c>
      <c r="U34" s="171" t="s">
        <v>11</v>
      </c>
      <c r="V34" s="172">
        <f>U33/U8</f>
        <v>9441.1185039370084</v>
      </c>
    </row>
    <row r="35" spans="1:24" ht="30" customHeight="1" thickBot="1" x14ac:dyDescent="0.3">
      <c r="A35" s="111"/>
      <c r="B35" s="13"/>
      <c r="C35" s="14" t="s">
        <v>10</v>
      </c>
      <c r="D35" s="101"/>
      <c r="E35" s="53">
        <v>0.72199999999999998</v>
      </c>
      <c r="F35" s="66">
        <v>0.73299999999999998</v>
      </c>
      <c r="G35" s="53">
        <v>0.745</v>
      </c>
      <c r="H35" s="83">
        <f>AVERAGE(E35:G35)</f>
        <v>0.73333333333333339</v>
      </c>
      <c r="I35" s="66">
        <v>0.75800000000000001</v>
      </c>
      <c r="J35" s="66">
        <v>0.78800000000000003</v>
      </c>
      <c r="K35" s="66">
        <v>0.82399999999999995</v>
      </c>
      <c r="L35" s="83">
        <f>AVERAGE(I35:K35)</f>
        <v>0.79</v>
      </c>
      <c r="M35" s="66">
        <v>0.81699999999999995</v>
      </c>
      <c r="N35" s="66">
        <v>0.83899999999999997</v>
      </c>
      <c r="O35" s="66">
        <v>0.81499999999999995</v>
      </c>
      <c r="P35" s="83">
        <f>AVERAGE(M35:O35)</f>
        <v>0.82366666666666666</v>
      </c>
      <c r="Q35" s="66">
        <v>0.80700000000000005</v>
      </c>
      <c r="R35" s="84">
        <v>0.80400000000000005</v>
      </c>
      <c r="S35" s="84">
        <v>0.80600000000000005</v>
      </c>
      <c r="T35" s="83">
        <f>AVERAGE(Q35:S35)</f>
        <v>0.80566666666666675</v>
      </c>
      <c r="U35" s="174" t="s">
        <v>11</v>
      </c>
      <c r="V35" s="175">
        <f>+U33/U16</f>
        <v>0.79334930765831357</v>
      </c>
    </row>
    <row r="36" spans="1:24" ht="30" customHeight="1" thickTop="1" x14ac:dyDescent="0.25">
      <c r="A36" s="104" t="s">
        <v>39</v>
      </c>
      <c r="B36" s="113" t="s">
        <v>35</v>
      </c>
      <c r="C36" s="177" t="s">
        <v>18</v>
      </c>
      <c r="D36" s="97"/>
      <c r="E36" s="178">
        <f>2174+81</f>
        <v>2255</v>
      </c>
      <c r="F36" s="179">
        <f>2192+69</f>
        <v>2261</v>
      </c>
      <c r="G36" s="178">
        <f>2202+62</f>
        <v>2264</v>
      </c>
      <c r="H36" s="180">
        <f>AVERAGE(E36:G36)</f>
        <v>2260</v>
      </c>
      <c r="I36" s="179">
        <v>2269</v>
      </c>
      <c r="J36" s="179">
        <v>2279</v>
      </c>
      <c r="K36" s="179">
        <v>2285</v>
      </c>
      <c r="L36" s="180">
        <f>AVERAGE(I36:K36)</f>
        <v>2277.6666666666665</v>
      </c>
      <c r="M36" s="179">
        <v>2287</v>
      </c>
      <c r="N36" s="179">
        <v>2291</v>
      </c>
      <c r="O36" s="179">
        <v>2295</v>
      </c>
      <c r="P36" s="180">
        <f>AVERAGE(M36:O36)</f>
        <v>2291</v>
      </c>
      <c r="Q36" s="179">
        <v>2304</v>
      </c>
      <c r="R36" s="179">
        <v>2323</v>
      </c>
      <c r="S36" s="179">
        <v>2328</v>
      </c>
      <c r="T36" s="180">
        <f>AVERAGE(Q36:S36)</f>
        <v>2318.3333333333335</v>
      </c>
      <c r="U36" s="181" t="s">
        <v>11</v>
      </c>
      <c r="V36" s="182">
        <f>AVERAGE(E36:G36,I36:K36,M36:O36,Q36:S36)</f>
        <v>2286.75</v>
      </c>
    </row>
    <row r="37" spans="1:24" ht="30" customHeight="1" x14ac:dyDescent="0.25">
      <c r="A37" s="105"/>
      <c r="B37" s="11"/>
      <c r="C37" s="119" t="s">
        <v>19</v>
      </c>
      <c r="D37" s="120" t="s">
        <v>16</v>
      </c>
      <c r="E37" s="121">
        <v>15397.8</v>
      </c>
      <c r="F37" s="122">
        <v>15813.6</v>
      </c>
      <c r="G37" s="121">
        <v>18910.3</v>
      </c>
      <c r="H37" s="123">
        <f>AVERAGE(E37:G37)</f>
        <v>16707.233333333334</v>
      </c>
      <c r="I37" s="122">
        <v>17138</v>
      </c>
      <c r="J37" s="122">
        <v>16498.2</v>
      </c>
      <c r="K37" s="122">
        <v>17028.099999999999</v>
      </c>
      <c r="L37" s="123">
        <f>AVERAGE(I37:K37)</f>
        <v>16888.099999999999</v>
      </c>
      <c r="M37" s="122">
        <v>17665.599999999999</v>
      </c>
      <c r="N37" s="122">
        <v>17118</v>
      </c>
      <c r="O37" s="122">
        <v>17265.2</v>
      </c>
      <c r="P37" s="123">
        <f>AVERAGE(M37:O37)</f>
        <v>17349.600000000002</v>
      </c>
      <c r="Q37" s="122">
        <v>16950.599999999999</v>
      </c>
      <c r="R37" s="122">
        <v>16427.3</v>
      </c>
      <c r="S37" s="122">
        <v>18102.7</v>
      </c>
      <c r="T37" s="123">
        <f>AVERAGE(Q37:S37)</f>
        <v>17160.199999999997</v>
      </c>
      <c r="U37" s="169">
        <f>+S37+R37+Q37+O37+N37+M37+K37+J37+I37+G37+F37+E37</f>
        <v>204315.4</v>
      </c>
      <c r="V37" s="170">
        <f>+U37/12</f>
        <v>17026.283333333333</v>
      </c>
    </row>
    <row r="38" spans="1:24" ht="30" customHeight="1" x14ac:dyDescent="0.25">
      <c r="A38" s="105"/>
      <c r="B38" s="11"/>
      <c r="C38" s="1" t="s">
        <v>20</v>
      </c>
      <c r="D38" s="100" t="s">
        <v>16</v>
      </c>
      <c r="E38" s="51">
        <f>E37/E24</f>
        <v>1.0793354829664936</v>
      </c>
      <c r="F38" s="64">
        <f>F37/F24</f>
        <v>0.83180441003198113</v>
      </c>
      <c r="G38" s="51">
        <f>G37/G24</f>
        <v>0.84232586937251952</v>
      </c>
      <c r="H38" s="79">
        <f>SUM(E37:G37)/SUM(E24:G24)</f>
        <v>0.89941016342080093</v>
      </c>
      <c r="I38" s="64">
        <f>I37/I24</f>
        <v>0.80463493762647254</v>
      </c>
      <c r="J38" s="64">
        <f>J37/J24</f>
        <v>0.76832658839746837</v>
      </c>
      <c r="K38" s="64">
        <f>K37/K24</f>
        <v>0.76380771249276691</v>
      </c>
      <c r="L38" s="79">
        <f>SUM(I37:K37)/SUM(I24:K24)</f>
        <v>0.77866371990157635</v>
      </c>
      <c r="M38" s="64">
        <f>M37/M24</f>
        <v>0.76798274977611225</v>
      </c>
      <c r="N38" s="64">
        <f>N37/N24</f>
        <v>0.76607056549057517</v>
      </c>
      <c r="O38" s="64">
        <f>O37/O24</f>
        <v>0.75067392476390904</v>
      </c>
      <c r="P38" s="79">
        <f>SUM(M37:O37)/SUM(M24:O24)</f>
        <v>0.76153299174511402</v>
      </c>
      <c r="Q38" s="64">
        <f>Q37/Q24</f>
        <v>0.71700315977818097</v>
      </c>
      <c r="R38" s="64">
        <f>R37/R24</f>
        <v>0.68441665034851396</v>
      </c>
      <c r="S38" s="64">
        <f>S37/S24</f>
        <v>0.670103054621911</v>
      </c>
      <c r="T38" s="79">
        <f>SUM(Q37:S37)/SUM(Q24:S24)</f>
        <v>0.68955605323503555</v>
      </c>
      <c r="U38" s="171" t="s">
        <v>11</v>
      </c>
      <c r="V38" s="172">
        <f>U37/U24</f>
        <v>0.77451459070955808</v>
      </c>
    </row>
    <row r="39" spans="1:24" ht="30" customHeight="1" x14ac:dyDescent="0.25">
      <c r="A39" s="105"/>
      <c r="B39" s="11"/>
      <c r="C39" s="1" t="s">
        <v>21</v>
      </c>
      <c r="D39" s="100"/>
      <c r="E39" s="52">
        <v>0.77800000000000002</v>
      </c>
      <c r="F39" s="65">
        <v>0.63900000000000001</v>
      </c>
      <c r="G39" s="52">
        <v>0.64800000000000002</v>
      </c>
      <c r="H39" s="80">
        <f>AVERAGE(E39:G39)</f>
        <v>0.68833333333333335</v>
      </c>
      <c r="I39" s="65">
        <v>0.627</v>
      </c>
      <c r="J39" s="65">
        <v>0.61099999999999999</v>
      </c>
      <c r="K39" s="65">
        <v>0.60699999999999998</v>
      </c>
      <c r="L39" s="80">
        <f>AVERAGE(I39:K39)</f>
        <v>0.61499999999999999</v>
      </c>
      <c r="M39" s="65">
        <v>0.60499999999999998</v>
      </c>
      <c r="N39" s="65">
        <v>0.59799999999999998</v>
      </c>
      <c r="O39" s="65">
        <v>0.59399999999999997</v>
      </c>
      <c r="P39" s="80">
        <f>AVERAGE(M39:O39)</f>
        <v>0.59899999999999987</v>
      </c>
      <c r="Q39" s="65">
        <v>0.57599999999999996</v>
      </c>
      <c r="R39" s="81">
        <v>0.55900000000000005</v>
      </c>
      <c r="S39" s="81">
        <v>0.55200000000000005</v>
      </c>
      <c r="T39" s="80">
        <f>AVERAGE(Q39:S39)</f>
        <v>0.56233333333333335</v>
      </c>
      <c r="U39" s="171" t="s">
        <v>11</v>
      </c>
      <c r="V39" s="173" t="e">
        <f>+U37/U30</f>
        <v>#VALUE!</v>
      </c>
      <c r="X39" s="8"/>
    </row>
    <row r="40" spans="1:24" ht="30" customHeight="1" x14ac:dyDescent="0.25">
      <c r="A40" s="105"/>
      <c r="B40" s="11"/>
      <c r="C40" s="12" t="s">
        <v>22</v>
      </c>
      <c r="D40" s="98" t="s">
        <v>23</v>
      </c>
      <c r="E40" s="49">
        <v>3.4</v>
      </c>
      <c r="F40" s="62">
        <v>3.2</v>
      </c>
      <c r="G40" s="49">
        <v>3.1</v>
      </c>
      <c r="H40" s="77">
        <f>AVERAGE(E40:G40)</f>
        <v>3.2333333333333329</v>
      </c>
      <c r="I40" s="62">
        <v>3.1</v>
      </c>
      <c r="J40" s="62">
        <v>3.1</v>
      </c>
      <c r="K40" s="62">
        <v>2.9</v>
      </c>
      <c r="L40" s="77">
        <f>SUM(I41:K41)/SUM(I37:K37)</f>
        <v>3.0184212552033687</v>
      </c>
      <c r="M40" s="62">
        <v>2.8</v>
      </c>
      <c r="N40" s="62">
        <v>2.8</v>
      </c>
      <c r="O40" s="62">
        <v>3.1</v>
      </c>
      <c r="P40" s="77">
        <f>SUM(M41:O41)/SUM(M37:O37)</f>
        <v>2.9045338221054084</v>
      </c>
      <c r="Q40" s="82">
        <v>2.8</v>
      </c>
      <c r="R40" s="62">
        <v>3.3</v>
      </c>
      <c r="S40" s="62">
        <v>3.2</v>
      </c>
      <c r="T40" s="85">
        <f>SUM(Q41:S41)/SUM(Q37:S37)</f>
        <v>3.0956981853358356</v>
      </c>
      <c r="U40" s="159" t="s">
        <v>11</v>
      </c>
      <c r="V40" s="160">
        <f>AVERAGE(E40:G40,I40:K40,M40:O40,Q40:S40)</f>
        <v>3.0666666666666669</v>
      </c>
    </row>
    <row r="41" spans="1:24" ht="30" customHeight="1" x14ac:dyDescent="0.25">
      <c r="A41" s="105"/>
      <c r="B41" s="11"/>
      <c r="C41" s="119" t="s">
        <v>8</v>
      </c>
      <c r="D41" s="120" t="s">
        <v>9</v>
      </c>
      <c r="E41" s="121">
        <v>52499.1</v>
      </c>
      <c r="F41" s="122">
        <v>50475.6</v>
      </c>
      <c r="G41" s="121">
        <v>58193</v>
      </c>
      <c r="H41" s="123">
        <f>AVERAGE(E41:G41)</f>
        <v>53722.566666666673</v>
      </c>
      <c r="I41" s="122">
        <v>52592.3</v>
      </c>
      <c r="J41" s="122">
        <v>50662</v>
      </c>
      <c r="K41" s="122">
        <v>49671.9</v>
      </c>
      <c r="L41" s="123">
        <f>AVERAGE(I41:K41)</f>
        <v>50975.4</v>
      </c>
      <c r="M41" s="122">
        <v>49857.599999999999</v>
      </c>
      <c r="N41" s="122">
        <v>48281.2</v>
      </c>
      <c r="O41" s="122">
        <v>53038.7</v>
      </c>
      <c r="P41" s="123">
        <f>AVERAGE(M41:O41)</f>
        <v>50392.5</v>
      </c>
      <c r="Q41" s="122">
        <v>47920.800000000003</v>
      </c>
      <c r="R41" s="122">
        <v>54163.199999999997</v>
      </c>
      <c r="S41" s="122">
        <v>57284.4</v>
      </c>
      <c r="T41" s="123">
        <f>AVERAGE(Q41:S41)</f>
        <v>53122.799999999996</v>
      </c>
      <c r="U41" s="169">
        <f>+S41+R41+Q41+O41+N41+M41+K41+J41+I41+G41+F41+E41</f>
        <v>624639.80000000005</v>
      </c>
      <c r="V41" s="170">
        <f>+U41/12</f>
        <v>52053.316666666673</v>
      </c>
    </row>
    <row r="42" spans="1:24" ht="30" customHeight="1" x14ac:dyDescent="0.25">
      <c r="A42" s="105"/>
      <c r="B42" s="11"/>
      <c r="C42" s="1" t="s">
        <v>20</v>
      </c>
      <c r="D42" s="100" t="s">
        <v>9</v>
      </c>
      <c r="E42" s="51">
        <f>E41/E24</f>
        <v>3.680015421281368</v>
      </c>
      <c r="F42" s="64">
        <f>F41/F24</f>
        <v>2.6550454468944622</v>
      </c>
      <c r="G42" s="51">
        <f>G41/G24</f>
        <v>2.5921042667961394</v>
      </c>
      <c r="H42" s="79">
        <f>SUM(E41:G41)/SUM(E24:G24)</f>
        <v>2.8920780299781259</v>
      </c>
      <c r="I42" s="64">
        <f>I41/I24</f>
        <v>2.469226399237527</v>
      </c>
      <c r="J42" s="64">
        <f>J41/J24</f>
        <v>2.3593459663110243</v>
      </c>
      <c r="K42" s="64">
        <f>K41/K24</f>
        <v>2.2280689163306224</v>
      </c>
      <c r="L42" s="79">
        <f>SUM(I41:K41)/SUM(I24:K24)</f>
        <v>2.3503351228066403</v>
      </c>
      <c r="M42" s="64">
        <f>M41/M24</f>
        <v>2.1674767200229539</v>
      </c>
      <c r="N42" s="64">
        <f>N41/N24</f>
        <v>2.1606967044376417</v>
      </c>
      <c r="O42" s="64">
        <f>O41/O24</f>
        <v>2.3060705403572235</v>
      </c>
      <c r="P42" s="79">
        <f>SUM(M41:O41)/SUM(M24:O24)</f>
        <v>2.2118983311728027</v>
      </c>
      <c r="Q42" s="64">
        <f>Q41/Q24</f>
        <v>2.027029427813662</v>
      </c>
      <c r="R42" s="64">
        <f>R41/R24</f>
        <v>2.2566213508097275</v>
      </c>
      <c r="S42" s="64">
        <f>S41/S24</f>
        <v>2.1204821061048018</v>
      </c>
      <c r="T42" s="79">
        <f>SUM(Q41:S41)/SUM(Q24:S24)</f>
        <v>2.1346574226870403</v>
      </c>
      <c r="U42" s="171" t="s">
        <v>11</v>
      </c>
      <c r="V42" s="172">
        <f>U41/U24</f>
        <v>2.3678716290495001</v>
      </c>
    </row>
    <row r="43" spans="1:24" ht="30" customHeight="1" thickBot="1" x14ac:dyDescent="0.3">
      <c r="A43" s="106"/>
      <c r="B43" s="13"/>
      <c r="C43" s="14" t="s">
        <v>10</v>
      </c>
      <c r="D43" s="101"/>
      <c r="E43" s="53">
        <v>0.27800000000000002</v>
      </c>
      <c r="F43" s="66">
        <v>0.26700000000000002</v>
      </c>
      <c r="G43" s="53">
        <v>0.255</v>
      </c>
      <c r="H43" s="83">
        <f>AVERAGE(E43:G43)</f>
        <v>0.26666666666666666</v>
      </c>
      <c r="I43" s="66">
        <v>0.24199999999999999</v>
      </c>
      <c r="J43" s="66">
        <v>0.21199999999999999</v>
      </c>
      <c r="K43" s="66">
        <v>0.17599999999999999</v>
      </c>
      <c r="L43" s="83">
        <f>AVERAGE(I43:K43)</f>
        <v>0.20999999999999996</v>
      </c>
      <c r="M43" s="66">
        <v>0.183</v>
      </c>
      <c r="N43" s="66">
        <v>0.161</v>
      </c>
      <c r="O43" s="66">
        <v>0.185</v>
      </c>
      <c r="P43" s="83">
        <f>AVERAGE(M43:O43)</f>
        <v>0.17633333333333331</v>
      </c>
      <c r="Q43" s="66">
        <v>0.193</v>
      </c>
      <c r="R43" s="84">
        <v>0.19600000000000001</v>
      </c>
      <c r="S43" s="84">
        <v>0.19400000000000001</v>
      </c>
      <c r="T43" s="83">
        <f>AVERAGE(Q43:S43)</f>
        <v>0.19433333333333333</v>
      </c>
      <c r="U43" s="174" t="s">
        <v>11</v>
      </c>
      <c r="V43" s="175" t="e">
        <f>+U41/#REF!</f>
        <v>#REF!</v>
      </c>
    </row>
    <row r="44" spans="1:24" ht="16" thickTop="1" x14ac:dyDescent="0.35">
      <c r="A44" s="17"/>
      <c r="B44" s="17"/>
      <c r="C44" s="17"/>
      <c r="D44" s="17"/>
    </row>
    <row r="45" spans="1:24" ht="15.5" x14ac:dyDescent="0.35">
      <c r="A45" s="17"/>
      <c r="B45" s="17"/>
      <c r="C45" s="17"/>
      <c r="D45" s="17"/>
    </row>
    <row r="46" spans="1:24" ht="15.5" x14ac:dyDescent="0.35">
      <c r="A46" s="17"/>
      <c r="B46" s="17"/>
      <c r="C46" s="17"/>
      <c r="D46" s="17"/>
    </row>
    <row r="47" spans="1:24" ht="15.5" x14ac:dyDescent="0.35">
      <c r="A47" s="17"/>
      <c r="B47" s="17"/>
      <c r="C47" s="17"/>
      <c r="D47" s="17"/>
    </row>
  </sheetData>
  <mergeCells count="5">
    <mergeCell ref="B6:C7"/>
    <mergeCell ref="B8:C8"/>
    <mergeCell ref="B12:B13"/>
    <mergeCell ref="B14:B15"/>
    <mergeCell ref="B9:C9"/>
  </mergeCells>
  <phoneticPr fontId="16" type="noConversion"/>
  <printOptions horizontalCentered="1"/>
  <pageMargins left="0" right="0" top="0" bottom="0" header="0.51181102362204722" footer="0"/>
  <pageSetup paperSize="9" scale="44" orientation="landscape" r:id="rId1"/>
  <headerFooter alignWithMargins="0">
    <oddFooter>&amp;LOpr. WSS - na podstawie danych KIR S.A.&amp;Rwww nbp.pl / system płatniczy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>
      <selection activeCell="C34" sqref="C34"/>
    </sheetView>
  </sheetViews>
  <sheetFormatPr defaultRowHeight="11.5" x14ac:dyDescent="0.2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E832F-9A99-40BE-A500-1F2E3D8FF311}">
  <sheetPr>
    <pageSetUpPr fitToPage="1"/>
  </sheetPr>
  <dimension ref="A1:X2057"/>
  <sheetViews>
    <sheetView view="pageBreakPreview" topLeftCell="A5" zoomScale="70" zoomScaleNormal="60" zoomScaleSheetLayoutView="70" workbookViewId="0">
      <pane xSplit="4" ySplit="2" topLeftCell="E10" activePane="bottomRight" state="frozen"/>
      <selection activeCell="C34" sqref="C34"/>
      <selection pane="topRight" activeCell="C34" sqref="C34"/>
      <selection pane="bottomLeft" activeCell="C34" sqref="C34"/>
      <selection pane="bottomRight" activeCell="C35" sqref="C35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0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6.699218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  <c r="K2" s="588"/>
    </row>
    <row r="3" spans="1:24" ht="19.5" customHeight="1" x14ac:dyDescent="0.4">
      <c r="A3" s="958" t="s">
        <v>42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</row>
    <row r="4" spans="1:24" s="134" customFormat="1" ht="24" customHeight="1" x14ac:dyDescent="0.25">
      <c r="A4" s="959" t="s">
        <v>405</v>
      </c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</row>
    <row r="5" spans="1:24" ht="42" customHeight="1" thickBot="1" x14ac:dyDescent="0.45">
      <c r="A5" s="858" t="s">
        <v>1</v>
      </c>
      <c r="B5" s="960" t="s">
        <v>2</v>
      </c>
      <c r="C5" s="961"/>
      <c r="D5" s="859" t="s">
        <v>3</v>
      </c>
      <c r="E5" s="860" t="s">
        <v>393</v>
      </c>
      <c r="F5" s="860" t="s">
        <v>394</v>
      </c>
      <c r="G5" s="860" t="s">
        <v>395</v>
      </c>
      <c r="H5" s="860" t="s">
        <v>406</v>
      </c>
      <c r="I5" s="860" t="s">
        <v>396</v>
      </c>
      <c r="J5" s="860" t="s">
        <v>397</v>
      </c>
      <c r="K5" s="860" t="s">
        <v>398</v>
      </c>
      <c r="L5" s="860" t="s">
        <v>421</v>
      </c>
      <c r="M5" s="860" t="s">
        <v>399</v>
      </c>
      <c r="N5" s="860" t="s">
        <v>400</v>
      </c>
      <c r="O5" s="860" t="s">
        <v>401</v>
      </c>
      <c r="P5" s="860" t="s">
        <v>422</v>
      </c>
      <c r="Q5" s="860" t="s">
        <v>402</v>
      </c>
      <c r="R5" s="860" t="s">
        <v>403</v>
      </c>
      <c r="S5" s="860" t="s">
        <v>404</v>
      </c>
      <c r="T5" s="860" t="s">
        <v>423</v>
      </c>
      <c r="U5" s="861" t="s">
        <v>46</v>
      </c>
      <c r="V5" s="862" t="s">
        <v>58</v>
      </c>
      <c r="W5" s="233"/>
      <c r="X5" s="233"/>
    </row>
    <row r="6" spans="1:24" ht="44.25" customHeight="1" thickTop="1" x14ac:dyDescent="0.35">
      <c r="A6" s="863"/>
      <c r="B6" s="962"/>
      <c r="C6" s="963"/>
      <c r="D6" s="864" t="s">
        <v>4</v>
      </c>
      <c r="E6" s="865"/>
      <c r="F6" s="865"/>
      <c r="G6" s="865"/>
      <c r="H6" s="866" t="s">
        <v>45</v>
      </c>
      <c r="I6" s="867"/>
      <c r="J6" s="867"/>
      <c r="K6" s="867"/>
      <c r="L6" s="866" t="s">
        <v>45</v>
      </c>
      <c r="M6" s="867"/>
      <c r="N6" s="867"/>
      <c r="O6" s="867"/>
      <c r="P6" s="866" t="s">
        <v>45</v>
      </c>
      <c r="Q6" s="867"/>
      <c r="R6" s="867"/>
      <c r="S6" s="867"/>
      <c r="T6" s="866" t="s">
        <v>45</v>
      </c>
      <c r="U6" s="868" t="s">
        <v>53</v>
      </c>
      <c r="V6" s="869" t="s">
        <v>53</v>
      </c>
      <c r="W6" s="233"/>
      <c r="X6" s="233"/>
    </row>
    <row r="7" spans="1:24" ht="30" customHeight="1" x14ac:dyDescent="0.25">
      <c r="A7" s="870" t="s">
        <v>5</v>
      </c>
      <c r="B7" s="964" t="s">
        <v>6</v>
      </c>
      <c r="C7" s="965"/>
      <c r="D7" s="879"/>
      <c r="E7" s="792">
        <v>19</v>
      </c>
      <c r="F7" s="792">
        <v>20</v>
      </c>
      <c r="G7" s="792">
        <v>23</v>
      </c>
      <c r="H7" s="903">
        <f t="shared" ref="H7:H15" si="0">AVERAGE(E7:G7)</f>
        <v>20.666666666666668</v>
      </c>
      <c r="I7" s="326">
        <v>21</v>
      </c>
      <c r="J7" s="326">
        <v>20</v>
      </c>
      <c r="K7" s="326">
        <v>21</v>
      </c>
      <c r="L7" s="903">
        <f>AVERAGE(I7:K7)</f>
        <v>20.666666666666668</v>
      </c>
      <c r="M7" s="326">
        <v>22</v>
      </c>
      <c r="N7" s="326">
        <v>22</v>
      </c>
      <c r="O7" s="326">
        <v>22</v>
      </c>
      <c r="P7" s="903">
        <f>AVERAGE(M7:O7)</f>
        <v>22</v>
      </c>
      <c r="Q7" s="502">
        <v>21</v>
      </c>
      <c r="R7" s="502">
        <v>20</v>
      </c>
      <c r="S7" s="502">
        <v>23</v>
      </c>
      <c r="T7" s="903">
        <f>AVERAGE(Q7:S7)</f>
        <v>21.333333333333332</v>
      </c>
      <c r="U7" s="918">
        <f>SUM(E7:G7,I7:K7,M7:O7,Q7:S7)</f>
        <v>254</v>
      </c>
      <c r="V7" s="919">
        <f>AVERAGE(E7:G7,I7:K7,M7:O7,Q7:S7)</f>
        <v>21.166666666666668</v>
      </c>
      <c r="W7" s="233"/>
      <c r="X7" s="233"/>
    </row>
    <row r="8" spans="1:24" ht="30" customHeight="1" x14ac:dyDescent="0.25">
      <c r="A8" s="871" t="s">
        <v>7</v>
      </c>
      <c r="B8" s="966" t="s">
        <v>40</v>
      </c>
      <c r="C8" s="967"/>
      <c r="D8" s="880"/>
      <c r="E8" s="793">
        <v>39</v>
      </c>
      <c r="F8" s="793">
        <v>39</v>
      </c>
      <c r="G8" s="793">
        <v>39</v>
      </c>
      <c r="H8" s="904">
        <f t="shared" si="0"/>
        <v>39</v>
      </c>
      <c r="I8" s="504">
        <v>40</v>
      </c>
      <c r="J8" s="504">
        <v>40</v>
      </c>
      <c r="K8" s="504">
        <v>40</v>
      </c>
      <c r="L8" s="904">
        <f>AVERAGE(I8:K8)</f>
        <v>40</v>
      </c>
      <c r="M8" s="504">
        <v>41</v>
      </c>
      <c r="N8" s="504">
        <v>41</v>
      </c>
      <c r="O8" s="504">
        <v>41</v>
      </c>
      <c r="P8" s="904">
        <f>AVERAGE(M8:O8)</f>
        <v>41</v>
      </c>
      <c r="Q8" s="505">
        <v>41</v>
      </c>
      <c r="R8" s="505">
        <v>40</v>
      </c>
      <c r="S8" s="505">
        <v>40</v>
      </c>
      <c r="T8" s="904">
        <f>AVERAGE(Q8:S8)</f>
        <v>40.333333333333336</v>
      </c>
      <c r="U8" s="920" t="s">
        <v>11</v>
      </c>
      <c r="V8" s="921">
        <f>AVERAGE(E8:G8,I8:K8,M8:O8,Q8:S8)</f>
        <v>40.083333333333336</v>
      </c>
      <c r="W8" s="233"/>
      <c r="X8" s="233"/>
    </row>
    <row r="9" spans="1:24" ht="33.75" customHeight="1" x14ac:dyDescent="0.35">
      <c r="A9" s="870" t="s">
        <v>12</v>
      </c>
      <c r="B9" s="506" t="s">
        <v>27</v>
      </c>
      <c r="C9" s="891" t="s">
        <v>181</v>
      </c>
      <c r="D9" s="881" t="s">
        <v>9</v>
      </c>
      <c r="E9" s="794">
        <v>225281.29511032003</v>
      </c>
      <c r="F9" s="794">
        <v>224583.73101382001</v>
      </c>
      <c r="G9" s="794">
        <v>266484.13785827998</v>
      </c>
      <c r="H9" s="905">
        <f t="shared" si="0"/>
        <v>238783.05466080667</v>
      </c>
      <c r="I9" s="808">
        <v>264068.95397799998</v>
      </c>
      <c r="J9" s="813">
        <v>254389.39857102005</v>
      </c>
      <c r="K9" s="813">
        <v>263755.81904307997</v>
      </c>
      <c r="L9" s="905">
        <f>AVERAGE(I9:K9)</f>
        <v>260738.0571973667</v>
      </c>
      <c r="M9" s="444">
        <v>272740.55258840998</v>
      </c>
      <c r="N9" s="444">
        <v>272311.57369646005</v>
      </c>
      <c r="O9" s="444">
        <v>268979.66043907002</v>
      </c>
      <c r="P9" s="905">
        <f>AVERAGE(M9:O9)</f>
        <v>271343.92890798004</v>
      </c>
      <c r="Q9" s="508">
        <v>274035.58975480997</v>
      </c>
      <c r="R9" s="508">
        <v>294758.47070857999</v>
      </c>
      <c r="S9" s="508">
        <v>330059.52619070001</v>
      </c>
      <c r="T9" s="905">
        <f>AVERAGE(Q9:S9)</f>
        <v>299617.86221802997</v>
      </c>
      <c r="U9" s="922">
        <f>SUM(E9:G9,I9:K9,M9:O9,Q9:S9)</f>
        <v>3211448.7089525498</v>
      </c>
      <c r="V9" s="923">
        <f>AVERAGE(E9:G9,I9:K9,M9:O9,Q9:S9)</f>
        <v>267620.72574604582</v>
      </c>
      <c r="W9" s="317"/>
      <c r="X9" s="233"/>
    </row>
    <row r="10" spans="1:24" ht="30" customHeight="1" x14ac:dyDescent="0.35">
      <c r="A10" s="870"/>
      <c r="B10" s="509" t="s">
        <v>28</v>
      </c>
      <c r="C10" s="892" t="s">
        <v>10</v>
      </c>
      <c r="D10" s="882"/>
      <c r="E10" s="795">
        <f>E9/E15</f>
        <v>0.47368748041070785</v>
      </c>
      <c r="F10" s="795">
        <f t="shared" ref="F10:G10" si="1">F9/F15</f>
        <v>0.46643044021239288</v>
      </c>
      <c r="G10" s="795">
        <f t="shared" si="1"/>
        <v>0.47156188465903237</v>
      </c>
      <c r="H10" s="906">
        <f t="shared" si="0"/>
        <v>0.47055993509404437</v>
      </c>
      <c r="I10" s="513">
        <f>I9/I15</f>
        <v>0.46976506471684903</v>
      </c>
      <c r="J10" s="513">
        <f>J9/J15</f>
        <v>0.47200946782015329</v>
      </c>
      <c r="K10" s="513">
        <f>K9/K15</f>
        <v>0.46819348926083443</v>
      </c>
      <c r="L10" s="906">
        <f>SUM(I9:K9)/SUM(I15:K15)</f>
        <v>0.4699598925620696</v>
      </c>
      <c r="M10" s="513">
        <f>M9/M15</f>
        <v>0.47487234148044621</v>
      </c>
      <c r="N10" s="513">
        <f>N9/N15</f>
        <v>0.4767469175560935</v>
      </c>
      <c r="O10" s="513">
        <f>O9/O15</f>
        <v>0.47078292392535498</v>
      </c>
      <c r="P10" s="906">
        <f>SUM(M9:O9)/SUM(M15:O15)</f>
        <v>0.47413510956334387</v>
      </c>
      <c r="Q10" s="513">
        <f>Q9/Q15</f>
        <v>0.46330371622520605</v>
      </c>
      <c r="R10" s="513">
        <f>R9/R15</f>
        <v>0.47675984261136922</v>
      </c>
      <c r="S10" s="513">
        <f>S9/S15</f>
        <v>0.47935274380417364</v>
      </c>
      <c r="T10" s="906">
        <f>SUM(Q9:S9)/SUM(Q15:S15)</f>
        <v>0.47350759480982435</v>
      </c>
      <c r="U10" s="924" t="s">
        <v>11</v>
      </c>
      <c r="V10" s="925">
        <f>U9/U15</f>
        <v>0.47214778650353384</v>
      </c>
      <c r="W10" s="448"/>
      <c r="X10" s="402"/>
    </row>
    <row r="11" spans="1:24" ht="33" customHeight="1" x14ac:dyDescent="0.35">
      <c r="A11" s="871"/>
      <c r="B11" s="968" t="s">
        <v>29</v>
      </c>
      <c r="C11" s="893" t="s">
        <v>181</v>
      </c>
      <c r="D11" s="883" t="s">
        <v>9</v>
      </c>
      <c r="E11" s="796">
        <v>147869.33757696999</v>
      </c>
      <c r="F11" s="796">
        <v>155081.95868293001</v>
      </c>
      <c r="G11" s="796">
        <v>176355.68001834996</v>
      </c>
      <c r="H11" s="907">
        <f t="shared" si="0"/>
        <v>159768.99209274998</v>
      </c>
      <c r="I11" s="809">
        <v>174648.82110688</v>
      </c>
      <c r="J11" s="814">
        <v>166970.13494260999</v>
      </c>
      <c r="K11" s="814">
        <v>178446.48966985001</v>
      </c>
      <c r="L11" s="907">
        <f>AVERAGE(I11:K11)</f>
        <v>173355.14857311334</v>
      </c>
      <c r="M11" s="636">
        <v>179345.52688411</v>
      </c>
      <c r="N11" s="516">
        <v>180574.81146248998</v>
      </c>
      <c r="O11" s="516">
        <v>180190.98320707996</v>
      </c>
      <c r="P11" s="907">
        <f>AVERAGE(M11:O11)</f>
        <v>180037.10718455995</v>
      </c>
      <c r="Q11" s="495">
        <v>185708.97138931</v>
      </c>
      <c r="R11" s="495">
        <v>187017.84251414001</v>
      </c>
      <c r="S11" s="495">
        <v>207281.75683107003</v>
      </c>
      <c r="T11" s="907">
        <f>AVERAGE(Q11:S11)</f>
        <v>193336.19024484002</v>
      </c>
      <c r="U11" s="926">
        <f>SUM(E11:G11,I11:K11,M11:O11,Q11:S11)</f>
        <v>2119492.3142857901</v>
      </c>
      <c r="V11" s="927">
        <f>AVERAGE(E11:G11,I11:K11,M11:O11,Q11:S11)</f>
        <v>176624.35952381583</v>
      </c>
      <c r="W11" s="402"/>
      <c r="X11" s="233"/>
    </row>
    <row r="12" spans="1:24" ht="30" customHeight="1" x14ac:dyDescent="0.25">
      <c r="A12" s="871"/>
      <c r="B12" s="968"/>
      <c r="C12" s="894" t="s">
        <v>10</v>
      </c>
      <c r="D12" s="884"/>
      <c r="E12" s="797">
        <f>E11/E15</f>
        <v>0.31091730856986999</v>
      </c>
      <c r="F12" s="797">
        <f t="shared" ref="F12:G12" si="2">F11/F15</f>
        <v>0.32208453359886496</v>
      </c>
      <c r="G12" s="797">
        <f t="shared" si="2"/>
        <v>0.31207342211117051</v>
      </c>
      <c r="H12" s="908">
        <f t="shared" si="0"/>
        <v>0.31502508809330182</v>
      </c>
      <c r="I12" s="519">
        <f>I11/I15</f>
        <v>0.31069125512130474</v>
      </c>
      <c r="J12" s="519">
        <f>J11/J15</f>
        <v>0.30980648163338481</v>
      </c>
      <c r="K12" s="519">
        <f>K11/K15</f>
        <v>0.3167607256893486</v>
      </c>
      <c r="L12" s="908">
        <f>SUM(I11:K11)/SUM(I15:K15)</f>
        <v>0.31245905516904632</v>
      </c>
      <c r="M12" s="519">
        <f>M11/M15</f>
        <v>0.31226097284486015</v>
      </c>
      <c r="N12" s="519">
        <f t="shared" ref="N12:O12" si="3">N11/N15</f>
        <v>0.31613964689204083</v>
      </c>
      <c r="O12" s="519">
        <f t="shared" si="3"/>
        <v>0.31538012131006371</v>
      </c>
      <c r="P12" s="908">
        <f>SUM(M11:O11)/SUM(M15:O15)</f>
        <v>0.31458936223101314</v>
      </c>
      <c r="Q12" s="519">
        <f>Q11/Q15</f>
        <v>0.31397256341050711</v>
      </c>
      <c r="R12" s="519">
        <f>R11/R15</f>
        <v>0.30249375683154484</v>
      </c>
      <c r="S12" s="519">
        <f>S11/S15</f>
        <v>0.30103987612257138</v>
      </c>
      <c r="T12" s="908">
        <f>SUM(Q11:S11)/SUM(Q15:S15)</f>
        <v>0.30554304658215364</v>
      </c>
      <c r="U12" s="928" t="s">
        <v>11</v>
      </c>
      <c r="V12" s="929">
        <f>U11/U15</f>
        <v>0.3116081542612219</v>
      </c>
      <c r="W12" s="402"/>
      <c r="X12" s="233"/>
    </row>
    <row r="13" spans="1:24" ht="33" customHeight="1" x14ac:dyDescent="0.35">
      <c r="A13" s="870"/>
      <c r="B13" s="956" t="s">
        <v>30</v>
      </c>
      <c r="C13" s="891" t="s">
        <v>181</v>
      </c>
      <c r="D13" s="881" t="s">
        <v>9</v>
      </c>
      <c r="E13" s="794">
        <v>101225.18814037001</v>
      </c>
      <c r="F13" s="794">
        <v>100567.43717921998</v>
      </c>
      <c r="G13" s="794">
        <v>120614.18368917998</v>
      </c>
      <c r="H13" s="905">
        <f t="shared" si="0"/>
        <v>107468.93633625664</v>
      </c>
      <c r="I13" s="808">
        <v>121864.61955505001</v>
      </c>
      <c r="J13" s="813">
        <v>115989.50595614999</v>
      </c>
      <c r="K13" s="813">
        <v>119430.02930759001</v>
      </c>
      <c r="L13" s="905">
        <f>AVERAGE(I13:K13)</f>
        <v>119094.71827293001</v>
      </c>
      <c r="M13" s="444">
        <v>120497.67809439001</v>
      </c>
      <c r="N13" s="200">
        <v>116507.56134405002</v>
      </c>
      <c r="O13" s="200">
        <v>120496.32376333</v>
      </c>
      <c r="P13" s="905">
        <f>AVERAGE(M13:O13)</f>
        <v>119167.18773392333</v>
      </c>
      <c r="Q13" s="508">
        <v>130155.09653113001</v>
      </c>
      <c r="R13" s="508">
        <v>134802.02857808</v>
      </c>
      <c r="S13" s="508">
        <v>149420.14330998997</v>
      </c>
      <c r="T13" s="905">
        <f>AVERAGE(Q13:S13)</f>
        <v>138125.75613973333</v>
      </c>
      <c r="U13" s="922">
        <f>SUM(E13:G13,I13:K13,M13:O13,Q13:S13)</f>
        <v>1451569.7954485298</v>
      </c>
      <c r="V13" s="923">
        <f>AVERAGE(E13:G13,I13:K13,M13:O13,Q13:S13)</f>
        <v>120964.14962071081</v>
      </c>
      <c r="W13" s="402"/>
      <c r="X13" s="233"/>
    </row>
    <row r="14" spans="1:24" ht="30" customHeight="1" x14ac:dyDescent="0.25">
      <c r="A14" s="870"/>
      <c r="B14" s="956"/>
      <c r="C14" s="895" t="s">
        <v>10</v>
      </c>
      <c r="D14" s="885"/>
      <c r="E14" s="795">
        <f>E13/E15</f>
        <v>0.21284103636225593</v>
      </c>
      <c r="F14" s="795">
        <f t="shared" ref="F14:G14" si="4">F13/F15</f>
        <v>0.20886514701124642</v>
      </c>
      <c r="G14" s="795">
        <f t="shared" si="4"/>
        <v>0.21343503682507531</v>
      </c>
      <c r="H14" s="906">
        <f t="shared" si="0"/>
        <v>0.21171374006619256</v>
      </c>
      <c r="I14" s="521">
        <f>I13/I15</f>
        <v>0.2167908799182113</v>
      </c>
      <c r="J14" s="521">
        <f>J13/J15</f>
        <v>0.21521394085846843</v>
      </c>
      <c r="K14" s="521">
        <f>K13/K15</f>
        <v>0.21200048721924619</v>
      </c>
      <c r="L14" s="906">
        <f>SUM(I13:K13)/SUM(I15:K15)</f>
        <v>0.21465888641599268</v>
      </c>
      <c r="M14" s="521">
        <f>M13/M15</f>
        <v>0.20980017088251529</v>
      </c>
      <c r="N14" s="521">
        <f t="shared" ref="N14:O14" si="5">N13/N15</f>
        <v>0.2039745134177357</v>
      </c>
      <c r="O14" s="521">
        <f t="shared" si="5"/>
        <v>0.21089926104805543</v>
      </c>
      <c r="P14" s="906">
        <f>SUM(M13:O13)/SUM(M15:O15)</f>
        <v>0.20822779356062326</v>
      </c>
      <c r="Q14" s="513">
        <f>Q13/Q15</f>
        <v>0.22004930075862353</v>
      </c>
      <c r="R14" s="513">
        <f>R13/R15</f>
        <v>0.2180368006866171</v>
      </c>
      <c r="S14" s="513">
        <f>S13/S15</f>
        <v>0.21700617613403908</v>
      </c>
      <c r="T14" s="906">
        <f>SUM(Q13:S13)/SUM(Q15:S15)</f>
        <v>0.21829003814004816</v>
      </c>
      <c r="U14" s="930" t="s">
        <v>11</v>
      </c>
      <c r="V14" s="931">
        <f>U13/U15</f>
        <v>0.21341006131153409</v>
      </c>
      <c r="W14" s="233"/>
      <c r="X14" s="233"/>
    </row>
    <row r="15" spans="1:24" ht="33" customHeight="1" x14ac:dyDescent="0.25">
      <c r="A15" s="871" t="s">
        <v>17</v>
      </c>
      <c r="B15" s="522" t="s">
        <v>13</v>
      </c>
      <c r="C15" s="896" t="s">
        <v>8</v>
      </c>
      <c r="D15" s="886" t="s">
        <v>9</v>
      </c>
      <c r="E15" s="798">
        <f>E17+E19</f>
        <v>475590.56218879006</v>
      </c>
      <c r="F15" s="798">
        <f t="shared" ref="F15:G15" si="6">F17+F19</f>
        <v>481494.58451200998</v>
      </c>
      <c r="G15" s="798">
        <f t="shared" si="6"/>
        <v>565109.57846171991</v>
      </c>
      <c r="H15" s="909">
        <f t="shared" si="0"/>
        <v>507398.24172084004</v>
      </c>
      <c r="I15" s="524">
        <f>I17+I19</f>
        <v>562129.82576123998</v>
      </c>
      <c r="J15" s="524">
        <f>J17+J19</f>
        <v>538949.77943101001</v>
      </c>
      <c r="K15" s="524">
        <f>K17+K19</f>
        <v>563347.90015872999</v>
      </c>
      <c r="L15" s="909">
        <f>AVERAGE(I15:K15)</f>
        <v>554809.16845032666</v>
      </c>
      <c r="M15" s="524">
        <f>M17+M19</f>
        <v>574344.99498985999</v>
      </c>
      <c r="N15" s="524">
        <f t="shared" ref="N15:O15" si="7">N17+N19</f>
        <v>571186.85757295997</v>
      </c>
      <c r="O15" s="524">
        <f t="shared" si="7"/>
        <v>571345.40521634999</v>
      </c>
      <c r="P15" s="909">
        <f>AVERAGE(M15:O15)</f>
        <v>572292.41925972339</v>
      </c>
      <c r="Q15" s="524">
        <f>Q17+Q19</f>
        <v>591481.52746869996</v>
      </c>
      <c r="R15" s="524">
        <f>R17+R19</f>
        <v>618253.56157115009</v>
      </c>
      <c r="S15" s="524">
        <f>S17+S19</f>
        <v>688552.49178575003</v>
      </c>
      <c r="T15" s="909">
        <f>AVERAGE(Q15:S15)</f>
        <v>632762.52694186673</v>
      </c>
      <c r="U15" s="932">
        <f>SUM(E15:G15,I15:K15,M15:O15,Q15:S15)</f>
        <v>6801787.0691182697</v>
      </c>
      <c r="V15" s="932">
        <f>AVERAGE(E15:G15,I15:K15,M15:O15,Q15:S15)</f>
        <v>566815.5890931891</v>
      </c>
      <c r="W15" s="317"/>
      <c r="X15" s="233"/>
    </row>
    <row r="16" spans="1:24" ht="30" customHeight="1" x14ac:dyDescent="0.25">
      <c r="A16" s="871"/>
      <c r="B16" s="525" t="s">
        <v>14</v>
      </c>
      <c r="C16" s="897" t="s">
        <v>15</v>
      </c>
      <c r="D16" s="887" t="s">
        <v>9</v>
      </c>
      <c r="E16" s="799">
        <f>E15/E7</f>
        <v>25031.082220462635</v>
      </c>
      <c r="F16" s="799">
        <f t="shared" ref="F16:G16" si="8">F15/F7</f>
        <v>24074.729225600498</v>
      </c>
      <c r="G16" s="799">
        <f t="shared" si="8"/>
        <v>24569.98167224869</v>
      </c>
      <c r="H16" s="910">
        <f>SUM(E15:G15)/SUM(E7:G7)</f>
        <v>24551.527825201938</v>
      </c>
      <c r="I16" s="496">
        <f>I15/I7</f>
        <v>26768.086941011428</v>
      </c>
      <c r="J16" s="496">
        <f>J15/J7</f>
        <v>26947.488971550501</v>
      </c>
      <c r="K16" s="496">
        <f>K15/K7</f>
        <v>26826.090483749045</v>
      </c>
      <c r="L16" s="910">
        <f>SUM(I15:K15)/SUM(I7:K7)</f>
        <v>26845.604925015807</v>
      </c>
      <c r="M16" s="496">
        <f>M15/M7</f>
        <v>26106.590681357273</v>
      </c>
      <c r="N16" s="496">
        <f t="shared" ref="N16:O16" si="9">N15/N7</f>
        <v>25963.038980589088</v>
      </c>
      <c r="O16" s="496">
        <f t="shared" si="9"/>
        <v>25970.245691652271</v>
      </c>
      <c r="P16" s="910">
        <f>SUM(M15:O15)/SUM(M7:O7)</f>
        <v>26013.291784532881</v>
      </c>
      <c r="Q16" s="496">
        <f>Q15/Q7</f>
        <v>28165.787022319048</v>
      </c>
      <c r="R16" s="496">
        <f>R15/R7</f>
        <v>30912.678078557503</v>
      </c>
      <c r="S16" s="496">
        <f>S15/S7</f>
        <v>29937.06486025</v>
      </c>
      <c r="T16" s="910">
        <f>SUM(Q15:S15)/SUM(Q7:S7)</f>
        <v>29660.743450400001</v>
      </c>
      <c r="U16" s="933" t="s">
        <v>11</v>
      </c>
      <c r="V16" s="934">
        <f>U15/U7</f>
        <v>26778.689248497125</v>
      </c>
      <c r="W16" s="233"/>
      <c r="X16" s="233"/>
    </row>
    <row r="17" spans="1:24" s="27" customFormat="1" ht="33" customHeight="1" x14ac:dyDescent="0.35">
      <c r="A17" s="872"/>
      <c r="B17" s="526" t="s">
        <v>36</v>
      </c>
      <c r="C17" s="891" t="s">
        <v>8</v>
      </c>
      <c r="D17" s="881" t="s">
        <v>9</v>
      </c>
      <c r="E17" s="800">
        <f>E9+E11+E13</f>
        <v>474375.82082766003</v>
      </c>
      <c r="F17" s="800">
        <f t="shared" ref="F17:G17" si="10">F9+F11+F13</f>
        <v>480233.12687596999</v>
      </c>
      <c r="G17" s="800">
        <f t="shared" si="10"/>
        <v>563454.00156580994</v>
      </c>
      <c r="H17" s="905">
        <f>AVERAGE(E17:G17)</f>
        <v>506020.98308981332</v>
      </c>
      <c r="I17" s="200">
        <f>I9+I11+I13</f>
        <v>560582.39463992999</v>
      </c>
      <c r="J17" s="200">
        <f>J9+J11+J13</f>
        <v>537349.03946978005</v>
      </c>
      <c r="K17" s="200">
        <f>K9+K11+K13</f>
        <v>561632.33802051994</v>
      </c>
      <c r="L17" s="905">
        <f>AVERAGE(I17:K17)</f>
        <v>553187.92404340999</v>
      </c>
      <c r="M17" s="200">
        <f>M9+M11+M13</f>
        <v>572583.75756691</v>
      </c>
      <c r="N17" s="200">
        <f t="shared" ref="N17:O17" si="11">N9+N11+N13</f>
        <v>569393.94650299998</v>
      </c>
      <c r="O17" s="200">
        <f t="shared" si="11"/>
        <v>569666.96740948001</v>
      </c>
      <c r="P17" s="905">
        <f>AVERAGE(M17:O17)</f>
        <v>570548.22382646333</v>
      </c>
      <c r="Q17" s="200">
        <f>Q9+Q11+Q13</f>
        <v>589899.65767524997</v>
      </c>
      <c r="R17" s="200">
        <f t="shared" ref="R17:S17" si="12">R9+R11+R13</f>
        <v>616578.34180080006</v>
      </c>
      <c r="S17" s="200">
        <f t="shared" si="12"/>
        <v>686761.42633176001</v>
      </c>
      <c r="T17" s="905">
        <f>AVERAGE(Q17:S17)</f>
        <v>631079.80860260327</v>
      </c>
      <c r="U17" s="923">
        <f>SUM(E17:G17,I17:K17,M17:O17,Q17:S17)</f>
        <v>6782510.8186868709</v>
      </c>
      <c r="V17" s="923">
        <f>AVERAGE(E17:G17,I17:K17,M17:O17,Q18,Q18,Q17,Q17:S17)</f>
        <v>491494.16473421879</v>
      </c>
      <c r="W17" s="234"/>
      <c r="X17" s="234"/>
    </row>
    <row r="18" spans="1:24" s="25" customFormat="1" ht="30" customHeight="1" x14ac:dyDescent="0.25">
      <c r="A18" s="873"/>
      <c r="B18" s="527" t="s">
        <v>32</v>
      </c>
      <c r="C18" s="898" t="s">
        <v>10</v>
      </c>
      <c r="D18" s="885"/>
      <c r="E18" s="801">
        <f>E17/E15</f>
        <v>0.99744582534283377</v>
      </c>
      <c r="F18" s="801">
        <f t="shared" ref="F18:G18" si="13">F17/F15</f>
        <v>0.99738012082250427</v>
      </c>
      <c r="G18" s="801">
        <f t="shared" si="13"/>
        <v>0.99707034359527824</v>
      </c>
      <c r="H18" s="906">
        <f>AVERAGE(E18:G18)</f>
        <v>0.99729876325353883</v>
      </c>
      <c r="I18" s="521">
        <f>I17/I15</f>
        <v>0.99724719975636511</v>
      </c>
      <c r="J18" s="521">
        <f>J17/J15</f>
        <v>0.99702989031200662</v>
      </c>
      <c r="K18" s="521">
        <f>K17/K15</f>
        <v>0.99695470216942905</v>
      </c>
      <c r="L18" s="906">
        <f>SUM(I17:K17)/SUM(I15:K15)</f>
        <v>0.99707783414710849</v>
      </c>
      <c r="M18" s="521">
        <f>M17/M15</f>
        <v>0.99693348520782166</v>
      </c>
      <c r="N18" s="521">
        <f t="shared" ref="N18:O18" si="14">N17/N15</f>
        <v>0.99686107786586986</v>
      </c>
      <c r="O18" s="521">
        <f t="shared" si="14"/>
        <v>0.99706230628347414</v>
      </c>
      <c r="P18" s="906">
        <f>SUM(M17:O17)/SUM(M15:O15)</f>
        <v>0.99695226535498027</v>
      </c>
      <c r="Q18" s="513">
        <f>Q17/Q15</f>
        <v>0.99732558039433661</v>
      </c>
      <c r="R18" s="513">
        <f>R17/R15</f>
        <v>0.9972904001295313</v>
      </c>
      <c r="S18" s="513">
        <f>S17/S15</f>
        <v>0.99739879606078408</v>
      </c>
      <c r="T18" s="906">
        <f>SUM(Q17:S17)/SUM(Q15:S15)</f>
        <v>0.9973406795320261</v>
      </c>
      <c r="U18" s="930" t="s">
        <v>11</v>
      </c>
      <c r="V18" s="931">
        <f>U17/U15</f>
        <v>0.99716600207629003</v>
      </c>
      <c r="W18" s="235"/>
      <c r="X18" s="235"/>
    </row>
    <row r="19" spans="1:24" s="27" customFormat="1" ht="33" customHeight="1" x14ac:dyDescent="0.35">
      <c r="A19" s="874"/>
      <c r="B19" s="528" t="s">
        <v>36</v>
      </c>
      <c r="C19" s="893" t="s">
        <v>8</v>
      </c>
      <c r="D19" s="883" t="s">
        <v>9</v>
      </c>
      <c r="E19" s="796">
        <v>1214.7413611299999</v>
      </c>
      <c r="F19" s="796">
        <v>1261.4576360399997</v>
      </c>
      <c r="G19" s="796">
        <v>1655.5768959099998</v>
      </c>
      <c r="H19" s="907">
        <f>AVERAGE(E19:G19)</f>
        <v>1377.2586310266663</v>
      </c>
      <c r="I19" s="810">
        <v>1547.43112131</v>
      </c>
      <c r="J19" s="815">
        <v>1600.7399612299996</v>
      </c>
      <c r="K19" s="915">
        <v>1715.5621382099998</v>
      </c>
      <c r="L19" s="907">
        <f>AVERAGE(I19:K19)</f>
        <v>1621.2444069166665</v>
      </c>
      <c r="M19" s="636">
        <v>1761.2374229500001</v>
      </c>
      <c r="N19" s="516">
        <v>1792.9110699599998</v>
      </c>
      <c r="O19" s="516">
        <v>1678.4378068700003</v>
      </c>
      <c r="P19" s="907">
        <f>AVERAGE(M19:O19)</f>
        <v>1744.1954332599998</v>
      </c>
      <c r="Q19" s="495">
        <v>1581.8697934499996</v>
      </c>
      <c r="R19" s="495">
        <v>1675.2197703499999</v>
      </c>
      <c r="S19" s="495">
        <v>1791.0654539900002</v>
      </c>
      <c r="T19" s="907">
        <f>AVERAGE(Q19:S19)</f>
        <v>1682.7183392633331</v>
      </c>
      <c r="U19" s="927">
        <f>SUM(E19:G19,I19:K19,M19:O19,Q19:S19)</f>
        <v>19276.250431399996</v>
      </c>
      <c r="V19" s="927">
        <f>AVERAGE(E19:G19,I19:K19,M19:O19,Q19:S19)</f>
        <v>1606.3542026166663</v>
      </c>
      <c r="W19" s="234"/>
      <c r="X19" s="234"/>
    </row>
    <row r="20" spans="1:24" s="25" customFormat="1" ht="30" customHeight="1" x14ac:dyDescent="0.25">
      <c r="A20" s="875"/>
      <c r="B20" s="529" t="s">
        <v>31</v>
      </c>
      <c r="C20" s="899" t="s">
        <v>10</v>
      </c>
      <c r="D20" s="884"/>
      <c r="E20" s="802">
        <f>E19/E15</f>
        <v>2.5541746571661299E-3</v>
      </c>
      <c r="F20" s="802">
        <f t="shared" ref="F20:G20" si="15">F19/F15</f>
        <v>2.6198791774957853E-3</v>
      </c>
      <c r="G20" s="802">
        <f t="shared" si="15"/>
        <v>2.9296564047217744E-3</v>
      </c>
      <c r="H20" s="908">
        <f>AVERAGE(E20:G20)</f>
        <v>2.7012367464612302E-3</v>
      </c>
      <c r="I20" s="519">
        <f>I19/I15</f>
        <v>2.7528002436349262E-3</v>
      </c>
      <c r="J20" s="519">
        <f>J19/J15</f>
        <v>2.9701096879934941E-3</v>
      </c>
      <c r="K20" s="519">
        <f>K19/K15</f>
        <v>3.0452978305708068E-3</v>
      </c>
      <c r="L20" s="908">
        <f>SUM(I19:K19)/SUM(I15:K15)</f>
        <v>2.9221658528914888E-3</v>
      </c>
      <c r="M20" s="519">
        <f>M19/M15</f>
        <v>3.0665147921783396E-3</v>
      </c>
      <c r="N20" s="519">
        <f t="shared" ref="N20:O20" si="16">N19/N15</f>
        <v>3.1389221341301329E-3</v>
      </c>
      <c r="O20" s="519">
        <f t="shared" si="16"/>
        <v>2.9376937165258733E-3</v>
      </c>
      <c r="P20" s="908">
        <f>SUM(M19:O19)/SUM(M15:O15)</f>
        <v>3.0477346450197029E-3</v>
      </c>
      <c r="Q20" s="519">
        <f>Q19/Q15</f>
        <v>2.6744196056633553E-3</v>
      </c>
      <c r="R20" s="519">
        <f>R19/R15</f>
        <v>2.7095998704686985E-3</v>
      </c>
      <c r="S20" s="519">
        <f>S19/S15</f>
        <v>2.6012039392158759E-3</v>
      </c>
      <c r="T20" s="908">
        <f>SUM(Q19:S19)/SUM(Q15:S15)</f>
        <v>2.6593204679738061E-3</v>
      </c>
      <c r="U20" s="935" t="s">
        <v>11</v>
      </c>
      <c r="V20" s="929">
        <f>U19/U15</f>
        <v>2.8339979237101904E-3</v>
      </c>
      <c r="W20" s="235"/>
      <c r="X20" s="235"/>
    </row>
    <row r="21" spans="1:24" ht="33" customHeight="1" x14ac:dyDescent="0.25">
      <c r="A21" s="870" t="s">
        <v>24</v>
      </c>
      <c r="B21" s="119" t="s">
        <v>37</v>
      </c>
      <c r="C21" s="900" t="s">
        <v>19</v>
      </c>
      <c r="D21" s="888" t="s">
        <v>16</v>
      </c>
      <c r="E21" s="803">
        <f>E23+E25</f>
        <v>159721.31099999999</v>
      </c>
      <c r="F21" s="803">
        <f t="shared" ref="F21:G21" si="17">F23+F25</f>
        <v>165864.80499999999</v>
      </c>
      <c r="G21" s="803">
        <f t="shared" si="17"/>
        <v>194412.04699999999</v>
      </c>
      <c r="H21" s="911">
        <f>AVERAGE(E21:G21)</f>
        <v>173332.72099999999</v>
      </c>
      <c r="I21" s="218">
        <f>I23+I25</f>
        <v>176033.35800000001</v>
      </c>
      <c r="J21" s="218">
        <f>J23+J25</f>
        <v>173421.14500000002</v>
      </c>
      <c r="K21" s="218">
        <f>K23+K25</f>
        <v>173916.84999999998</v>
      </c>
      <c r="L21" s="911">
        <f>AVERAGE(I21:K21)</f>
        <v>174457.11766666666</v>
      </c>
      <c r="M21" s="218">
        <f>M23+M25</f>
        <v>173292.587</v>
      </c>
      <c r="N21" s="218">
        <f t="shared" ref="N21:O21" si="18">N23+N25</f>
        <v>170511.65100000001</v>
      </c>
      <c r="O21" s="218">
        <f t="shared" si="18"/>
        <v>175584.55900000001</v>
      </c>
      <c r="P21" s="911">
        <f>AVERAGE(M21:O21)</f>
        <v>173129.59900000002</v>
      </c>
      <c r="Q21" s="531">
        <f>Q23+Q25</f>
        <v>178437.31699999998</v>
      </c>
      <c r="R21" s="531">
        <f>R23+R25</f>
        <v>180669.83100000001</v>
      </c>
      <c r="S21" s="531">
        <f>S23+S25</f>
        <v>194050.788</v>
      </c>
      <c r="T21" s="911">
        <f>AVERAGE(Q21:S21)</f>
        <v>184385.97866666666</v>
      </c>
      <c r="U21" s="936">
        <f>SUM(E21:G21,I21:K21,M21:O21,Q21:S21)</f>
        <v>2115916.2490000003</v>
      </c>
      <c r="V21" s="937">
        <f>AVERAGE(E21:G21,I21:K21,M21:O21,Q21:S21)</f>
        <v>176326.35408333337</v>
      </c>
      <c r="W21" s="233"/>
      <c r="X21" s="233"/>
    </row>
    <row r="22" spans="1:24" ht="30" customHeight="1" x14ac:dyDescent="0.25">
      <c r="A22" s="870"/>
      <c r="B22" s="2" t="s">
        <v>14</v>
      </c>
      <c r="C22" s="901" t="s">
        <v>38</v>
      </c>
      <c r="D22" s="889" t="s">
        <v>16</v>
      </c>
      <c r="E22" s="804">
        <f>E21/E7</f>
        <v>8406.3847894736828</v>
      </c>
      <c r="F22" s="804">
        <f>F21/F7</f>
        <v>8293.2402499999989</v>
      </c>
      <c r="G22" s="804">
        <f>G21/G7</f>
        <v>8452.6976956521739</v>
      </c>
      <c r="H22" s="912">
        <f>SUM(E21:G21)/SUM(E7:G7)</f>
        <v>8387.0671451612889</v>
      </c>
      <c r="I22" s="221">
        <f>I21/I7</f>
        <v>8382.5408571428579</v>
      </c>
      <c r="J22" s="221">
        <f>J21/J7</f>
        <v>8671.0572500000017</v>
      </c>
      <c r="K22" s="221">
        <f>K21/K7</f>
        <v>8281.75476190476</v>
      </c>
      <c r="L22" s="912">
        <f>SUM(I21:K21)/SUM(I7:K7)</f>
        <v>8441.4734354838711</v>
      </c>
      <c r="M22" s="221">
        <f>M21/M7</f>
        <v>7876.9357727272727</v>
      </c>
      <c r="N22" s="221">
        <f t="shared" ref="N22:O22" si="19">N21/N7</f>
        <v>7750.5295909090919</v>
      </c>
      <c r="O22" s="221">
        <f t="shared" si="19"/>
        <v>7981.1163181818183</v>
      </c>
      <c r="P22" s="912">
        <f>SUM(M21:O21)/SUM(M7:O7)</f>
        <v>7869.5272272727279</v>
      </c>
      <c r="Q22" s="532">
        <f>Q21/Q7</f>
        <v>8497.0150952380936</v>
      </c>
      <c r="R22" s="532">
        <f>R21/R7</f>
        <v>9033.4915500000006</v>
      </c>
      <c r="S22" s="532">
        <f>S21/S7</f>
        <v>8436.9907826086965</v>
      </c>
      <c r="T22" s="912">
        <f>SUM(Q21:S21)/SUM(Q7:S7)</f>
        <v>8643.0927499999998</v>
      </c>
      <c r="U22" s="938" t="s">
        <v>11</v>
      </c>
      <c r="V22" s="939">
        <f>U21/U7</f>
        <v>8330.3789330708678</v>
      </c>
      <c r="W22" s="233"/>
      <c r="X22" s="233"/>
    </row>
    <row r="23" spans="1:24" s="27" customFormat="1" ht="33" customHeight="1" x14ac:dyDescent="0.35">
      <c r="A23" s="874"/>
      <c r="B23" s="528" t="s">
        <v>36</v>
      </c>
      <c r="C23" s="893" t="s">
        <v>19</v>
      </c>
      <c r="D23" s="883" t="s">
        <v>16</v>
      </c>
      <c r="E23" s="796">
        <v>158163.84299999999</v>
      </c>
      <c r="F23" s="796">
        <v>164339.53999999998</v>
      </c>
      <c r="G23" s="796">
        <v>192563.76199999999</v>
      </c>
      <c r="H23" s="907">
        <f>AVERAGE(E23:G23)</f>
        <v>171689.04833333331</v>
      </c>
      <c r="I23" s="495">
        <v>174421.446</v>
      </c>
      <c r="J23" s="495">
        <v>171750.91700000002</v>
      </c>
      <c r="K23" s="495">
        <v>172246.92199999996</v>
      </c>
      <c r="L23" s="907">
        <f>AVERAGE(I23:K23)</f>
        <v>172806.42833333332</v>
      </c>
      <c r="M23" s="516">
        <v>171611.47099999999</v>
      </c>
      <c r="N23" s="516">
        <v>168777.092</v>
      </c>
      <c r="O23" s="516">
        <v>173935.592</v>
      </c>
      <c r="P23" s="907">
        <f>+AVERAGE(M23:O23)</f>
        <v>171441.38499999998</v>
      </c>
      <c r="Q23" s="495">
        <v>176792.04799999998</v>
      </c>
      <c r="R23" s="495">
        <v>178982.228</v>
      </c>
      <c r="S23" s="495">
        <v>192318.177</v>
      </c>
      <c r="T23" s="907">
        <f>+AVERAGE(Q23:S23)</f>
        <v>182697.48433333333</v>
      </c>
      <c r="U23" s="927">
        <f>SUM(E23:G23,I23:K23,M23:O23,Q23:S23)</f>
        <v>2095903.0379999995</v>
      </c>
      <c r="V23" s="927">
        <f>AVERAGE(E23:G23,I23:K23,L23:O24)</f>
        <v>122901.49818617667</v>
      </c>
      <c r="W23" s="234"/>
      <c r="X23" s="234"/>
    </row>
    <row r="24" spans="1:24" s="25" customFormat="1" ht="30" customHeight="1" x14ac:dyDescent="0.25">
      <c r="A24" s="875"/>
      <c r="B24" s="529" t="s">
        <v>32</v>
      </c>
      <c r="C24" s="899" t="s">
        <v>21</v>
      </c>
      <c r="D24" s="884"/>
      <c r="E24" s="802">
        <f>E23/E21</f>
        <v>0.99024884036921035</v>
      </c>
      <c r="F24" s="802">
        <f t="shared" ref="F24:G24" si="20">F23/F21</f>
        <v>0.99080416728551901</v>
      </c>
      <c r="G24" s="802">
        <f t="shared" si="20"/>
        <v>0.9904929502645482</v>
      </c>
      <c r="H24" s="908">
        <f>SUM(E23:G23)/SUM(E21:G21)</f>
        <v>0.99051723957724835</v>
      </c>
      <c r="I24" s="519">
        <f>I23/I21</f>
        <v>0.99084314462716772</v>
      </c>
      <c r="J24" s="519">
        <f>J23/J21</f>
        <v>0.99036894837708511</v>
      </c>
      <c r="K24" s="519">
        <f>K23/K21</f>
        <v>0.99039812416105732</v>
      </c>
      <c r="L24" s="908">
        <f>SUM(I23:K23)/SUM(I21:K21)</f>
        <v>0.99053813707683003</v>
      </c>
      <c r="M24" s="519">
        <f>M23/M21</f>
        <v>0.99029897337732042</v>
      </c>
      <c r="N24" s="519">
        <f t="shared" ref="N24:O24" si="21">N23/N21</f>
        <v>0.98982732857357647</v>
      </c>
      <c r="O24" s="519">
        <f t="shared" si="21"/>
        <v>0.9906087015316648</v>
      </c>
      <c r="P24" s="908">
        <f>SUM(M23:O23)/SUM(M21:O21)</f>
        <v>0.99024884242930633</v>
      </c>
      <c r="Q24" s="519">
        <f>Q23/Q21</f>
        <v>0.99077956882752283</v>
      </c>
      <c r="R24" s="519">
        <f>R23/R21</f>
        <v>0.99065918758732885</v>
      </c>
      <c r="S24" s="519">
        <f>S23/S21</f>
        <v>0.99107135292849213</v>
      </c>
      <c r="T24" s="908">
        <f>SUM(Q23:S23)/SUM(Q21:S21)</f>
        <v>0.99084260991240658</v>
      </c>
      <c r="U24" s="940" t="s">
        <v>11</v>
      </c>
      <c r="V24" s="929">
        <f>U23/U21</f>
        <v>0.99054158641228862</v>
      </c>
      <c r="W24" s="235"/>
      <c r="X24" s="236"/>
    </row>
    <row r="25" spans="1:24" s="27" customFormat="1" ht="33" customHeight="1" x14ac:dyDescent="0.35">
      <c r="A25" s="872"/>
      <c r="B25" s="526" t="s">
        <v>36</v>
      </c>
      <c r="C25" s="891" t="s">
        <v>19</v>
      </c>
      <c r="D25" s="881" t="s">
        <v>16</v>
      </c>
      <c r="E25" s="794">
        <v>1557.4680000000001</v>
      </c>
      <c r="F25" s="794">
        <v>1525.2650000000001</v>
      </c>
      <c r="G25" s="794">
        <v>1848.2850000000001</v>
      </c>
      <c r="H25" s="905">
        <f>AVERAGE(E25:G25)</f>
        <v>1643.6726666666666</v>
      </c>
      <c r="I25" s="444">
        <v>1611.912</v>
      </c>
      <c r="J25" s="444">
        <v>1670.2280000000001</v>
      </c>
      <c r="K25" s="444">
        <v>1669.9280000000001</v>
      </c>
      <c r="L25" s="905">
        <f>AVERAGE(I25:K25)</f>
        <v>1650.6893333333335</v>
      </c>
      <c r="M25" s="444">
        <v>1681.116</v>
      </c>
      <c r="N25" s="200">
        <v>1734.559</v>
      </c>
      <c r="O25" s="200">
        <v>1648.9670000000001</v>
      </c>
      <c r="P25" s="905">
        <f>AVERAGE(M25:O25)</f>
        <v>1688.2139999999999</v>
      </c>
      <c r="Q25" s="508">
        <v>1645.269</v>
      </c>
      <c r="R25" s="508">
        <v>1687.6030000000001</v>
      </c>
      <c r="S25" s="917">
        <v>1732.6110000000001</v>
      </c>
      <c r="T25" s="905">
        <f>AVERAGE(Q25:S25)</f>
        <v>1688.4943333333333</v>
      </c>
      <c r="U25" s="923">
        <f>SUM(E25:G25,I25:K25,M25:O25,Q25:S25)</f>
        <v>20013.210999999999</v>
      </c>
      <c r="V25" s="941">
        <f>AVERAGE(E25:G25,I25:K25,M25:O25,Q25:S25)</f>
        <v>1667.7675833333333</v>
      </c>
      <c r="W25" s="234"/>
      <c r="X25" s="234"/>
    </row>
    <row r="26" spans="1:24" s="25" customFormat="1" ht="30" customHeight="1" x14ac:dyDescent="0.25">
      <c r="A26" s="873"/>
      <c r="B26" s="527" t="s">
        <v>31</v>
      </c>
      <c r="C26" s="898" t="s">
        <v>21</v>
      </c>
      <c r="D26" s="885"/>
      <c r="E26" s="801">
        <f>E25/E21</f>
        <v>9.7511596307896589E-3</v>
      </c>
      <c r="F26" s="801">
        <f t="shared" ref="F26:G26" si="22">F25/F21</f>
        <v>9.1958327144809303E-3</v>
      </c>
      <c r="G26" s="801">
        <f t="shared" si="22"/>
        <v>9.5070497354518366E-3</v>
      </c>
      <c r="H26" s="906">
        <f>SUM(E25:G25)/SUM(E21:G21)</f>
        <v>9.4827604227517258E-3</v>
      </c>
      <c r="I26" s="521">
        <f>I25/I21</f>
        <v>9.1568553728322323E-3</v>
      </c>
      <c r="J26" s="521">
        <f>J25/J21</f>
        <v>9.6310516229148411E-3</v>
      </c>
      <c r="K26" s="521">
        <f>K25/K21</f>
        <v>9.6018758389425779E-3</v>
      </c>
      <c r="L26" s="906">
        <f>SUM(I25:K25)/SUM(I21:K21)</f>
        <v>9.4618629231699655E-3</v>
      </c>
      <c r="M26" s="521">
        <f>M25/M21</f>
        <v>9.7010266226794806E-3</v>
      </c>
      <c r="N26" s="521">
        <f t="shared" ref="N26:O26" si="23">N25/N21</f>
        <v>1.0172671426423523E-2</v>
      </c>
      <c r="O26" s="521">
        <f t="shared" si="23"/>
        <v>9.3912984683351339E-3</v>
      </c>
      <c r="P26" s="906">
        <f>SUM(M25:O25)/SUM(M21:O21)</f>
        <v>9.7511575706936155E-3</v>
      </c>
      <c r="Q26" s="513">
        <f>Q25/Q21</f>
        <v>9.2204311724772246E-3</v>
      </c>
      <c r="R26" s="513">
        <f>R25/R21</f>
        <v>9.3408124126711563E-3</v>
      </c>
      <c r="S26" s="513">
        <f>S25/S21</f>
        <v>8.9286470715078982E-3</v>
      </c>
      <c r="T26" s="906">
        <f>SUM(Q25:S25)/SUM(Q21:S21)</f>
        <v>9.1573900875933558E-3</v>
      </c>
      <c r="U26" s="942" t="s">
        <v>11</v>
      </c>
      <c r="V26" s="930">
        <f>U25/U21</f>
        <v>9.4584135877109551E-3</v>
      </c>
      <c r="W26" s="235"/>
      <c r="X26" s="235"/>
    </row>
    <row r="27" spans="1:24" ht="33" customHeight="1" x14ac:dyDescent="0.25">
      <c r="A27" s="871" t="s">
        <v>33</v>
      </c>
      <c r="B27" s="522" t="s">
        <v>34</v>
      </c>
      <c r="C27" s="897" t="s">
        <v>18</v>
      </c>
      <c r="D27" s="887"/>
      <c r="E27" s="805">
        <v>2522</v>
      </c>
      <c r="F27" s="805">
        <v>2521</v>
      </c>
      <c r="G27" s="805">
        <v>2519</v>
      </c>
      <c r="H27" s="913">
        <f>AVERAGE(E27:G27)</f>
        <v>2520.6666666666665</v>
      </c>
      <c r="I27" s="533">
        <v>2516</v>
      </c>
      <c r="J27" s="533">
        <v>2515</v>
      </c>
      <c r="K27" s="533">
        <v>2515</v>
      </c>
      <c r="L27" s="913">
        <f>AVERAGE(I27:K27)</f>
        <v>2515.3333333333335</v>
      </c>
      <c r="M27" s="533">
        <v>2511</v>
      </c>
      <c r="N27" s="533">
        <v>2510</v>
      </c>
      <c r="O27" s="533">
        <v>2509</v>
      </c>
      <c r="P27" s="913">
        <f>AVERAGE(M27:O27)</f>
        <v>2510</v>
      </c>
      <c r="Q27" s="534">
        <v>2508</v>
      </c>
      <c r="R27" s="534">
        <v>2508</v>
      </c>
      <c r="S27" s="534">
        <v>2504</v>
      </c>
      <c r="T27" s="913">
        <f>AVERAGE(Q27:S27)</f>
        <v>2506.6666666666665</v>
      </c>
      <c r="U27" s="943" t="s">
        <v>11</v>
      </c>
      <c r="V27" s="944">
        <f>AVERAGE(E27:G27,I27:K27,M27:O27,Q27:S27)</f>
        <v>2513.1666666666665</v>
      </c>
      <c r="W27" s="233"/>
      <c r="X27" s="233"/>
    </row>
    <row r="28" spans="1:24" ht="30" customHeight="1" x14ac:dyDescent="0.25">
      <c r="A28" s="876"/>
      <c r="B28" s="331"/>
      <c r="C28" s="900" t="s">
        <v>19</v>
      </c>
      <c r="D28" s="888" t="s">
        <v>16</v>
      </c>
      <c r="E28" s="803">
        <f>E21</f>
        <v>159721.31099999999</v>
      </c>
      <c r="F28" s="803">
        <f t="shared" ref="F28:G28" si="24">F21</f>
        <v>165864.80499999999</v>
      </c>
      <c r="G28" s="803">
        <f t="shared" si="24"/>
        <v>194412.04699999999</v>
      </c>
      <c r="H28" s="911">
        <f>AVERAGE(E28:G28)</f>
        <v>173332.72099999999</v>
      </c>
      <c r="I28" s="218">
        <f>I21</f>
        <v>176033.35800000001</v>
      </c>
      <c r="J28" s="218">
        <f>J21</f>
        <v>173421.14500000002</v>
      </c>
      <c r="K28" s="218">
        <f>K21</f>
        <v>173916.84999999998</v>
      </c>
      <c r="L28" s="911">
        <f>AVERAGE(I28:J28)</f>
        <v>174727.25150000001</v>
      </c>
      <c r="M28" s="218">
        <f>M21</f>
        <v>173292.587</v>
      </c>
      <c r="N28" s="218">
        <f t="shared" ref="N28:O28" si="25">N21</f>
        <v>170511.65100000001</v>
      </c>
      <c r="O28" s="218">
        <f t="shared" si="25"/>
        <v>175584.55900000001</v>
      </c>
      <c r="P28" s="911">
        <f>AVERAGE(M28:O28)</f>
        <v>173129.59900000002</v>
      </c>
      <c r="Q28" s="531">
        <f>Q21</f>
        <v>178437.31699999998</v>
      </c>
      <c r="R28" s="531">
        <f>R21</f>
        <v>180669.83100000001</v>
      </c>
      <c r="S28" s="531">
        <f>S21</f>
        <v>194050.788</v>
      </c>
      <c r="T28" s="911">
        <f>AVERAGE(Q28:S28)</f>
        <v>184385.97866666666</v>
      </c>
      <c r="U28" s="936">
        <f>SUM(E28:G28,I28:K28,M28:O28,Q28:S28)</f>
        <v>2115916.2490000003</v>
      </c>
      <c r="V28" s="936">
        <f>AVERAGE(E28:G28,I28:K28,M28:O28,Q28:S28)</f>
        <v>176326.35408333337</v>
      </c>
      <c r="W28" s="233"/>
      <c r="X28" s="233"/>
    </row>
    <row r="29" spans="1:24" ht="30" customHeight="1" x14ac:dyDescent="0.25">
      <c r="A29" s="877"/>
      <c r="B29" s="535"/>
      <c r="C29" s="897" t="s">
        <v>20</v>
      </c>
      <c r="D29" s="887" t="s">
        <v>16</v>
      </c>
      <c r="E29" s="799">
        <f>E28/E7</f>
        <v>8406.3847894736828</v>
      </c>
      <c r="F29" s="799">
        <f t="shared" ref="F29:G29" si="26">F28/F7</f>
        <v>8293.2402499999989</v>
      </c>
      <c r="G29" s="799">
        <f t="shared" si="26"/>
        <v>8452.6976956521739</v>
      </c>
      <c r="H29" s="910">
        <f>SUM(E28:G28)/SUM(E7:G7)</f>
        <v>8387.0671451612889</v>
      </c>
      <c r="I29" s="496">
        <f>I28/I7</f>
        <v>8382.5408571428579</v>
      </c>
      <c r="J29" s="496">
        <f>J28/J7</f>
        <v>8671.0572500000017</v>
      </c>
      <c r="K29" s="496">
        <f>K28/K7</f>
        <v>8281.75476190476</v>
      </c>
      <c r="L29" s="910">
        <f>SUM(I28:K28)/SUM(I7:K7)</f>
        <v>8441.4734354838711</v>
      </c>
      <c r="M29" s="496">
        <f>M28/M7</f>
        <v>7876.9357727272727</v>
      </c>
      <c r="N29" s="496">
        <f t="shared" ref="N29:O29" si="27">N28/N7</f>
        <v>7750.5295909090919</v>
      </c>
      <c r="O29" s="496">
        <f t="shared" si="27"/>
        <v>7981.1163181818183</v>
      </c>
      <c r="P29" s="910">
        <f>SUM(M28:O28)/SUM(M7:O7)</f>
        <v>7869.5272272727279</v>
      </c>
      <c r="Q29" s="496">
        <f>Q28/Q7</f>
        <v>8497.0150952380936</v>
      </c>
      <c r="R29" s="496">
        <f>R28/R7</f>
        <v>9033.4915500000006</v>
      </c>
      <c r="S29" s="496">
        <f>S28/S7</f>
        <v>8436.9907826086965</v>
      </c>
      <c r="T29" s="910">
        <f>SUM(Q28:S28)/SUM(Q7:S7)</f>
        <v>8643.0927499999998</v>
      </c>
      <c r="U29" s="933" t="s">
        <v>11</v>
      </c>
      <c r="V29" s="934">
        <f>U28/U7</f>
        <v>8330.3789330708678</v>
      </c>
      <c r="W29" s="233"/>
      <c r="X29" s="233"/>
    </row>
    <row r="30" spans="1:24" ht="30" customHeight="1" x14ac:dyDescent="0.25">
      <c r="A30" s="876"/>
      <c r="B30" s="331"/>
      <c r="C30" s="901" t="s">
        <v>22</v>
      </c>
      <c r="D30" s="889" t="s">
        <v>219</v>
      </c>
      <c r="E30" s="804">
        <f>E31/E28*1000</f>
        <v>2977.6274638065684</v>
      </c>
      <c r="F30" s="804">
        <f t="shared" ref="F30:G30" si="28">F31/F28*1000</f>
        <v>2902.9340161224077</v>
      </c>
      <c r="G30" s="804">
        <f t="shared" si="28"/>
        <v>2906.7621435091414</v>
      </c>
      <c r="H30" s="912">
        <f>SUM(E31:G31)/SUM(E28:G28)*1000</f>
        <v>2927.3078896675261</v>
      </c>
      <c r="I30" s="221">
        <f>I31/I28*1000</f>
        <v>3193.3142226443238</v>
      </c>
      <c r="J30" s="221">
        <f>J31/J28*1000</f>
        <v>3107.7512458530355</v>
      </c>
      <c r="K30" s="221">
        <f>K31/K28*1000</f>
        <v>3239.1795283707706</v>
      </c>
      <c r="L30" s="912">
        <f>SUM(I31:K31)/SUM(I28:K28)*1000</f>
        <v>3180.2036848413059</v>
      </c>
      <c r="M30" s="221">
        <f>M31/M28*1000</f>
        <v>3314.3079281854107</v>
      </c>
      <c r="N30" s="221">
        <f>N31/N28*1000</f>
        <v>3349.8406368310866</v>
      </c>
      <c r="O30" s="221">
        <f>O31/O28*1000</f>
        <v>3253.9615582959659</v>
      </c>
      <c r="P30" s="912">
        <f>SUM(M31:O31)/SUM(M28:O28)*1000</f>
        <v>3305.5723721726135</v>
      </c>
      <c r="Q30" s="532">
        <f>Q31/Q28*1000</f>
        <v>3314.7860403477152</v>
      </c>
      <c r="R30" s="532">
        <f>R31/R28*1000</f>
        <v>3422.0077483282203</v>
      </c>
      <c r="S30" s="532">
        <f>S31/S28*1000</f>
        <v>3548.3107225812969</v>
      </c>
      <c r="T30" s="912">
        <f>SUM(Q31:S31)/SUM(Q28:S28)*1000</f>
        <v>3431.7280062047234</v>
      </c>
      <c r="U30" s="945" t="s">
        <v>11</v>
      </c>
      <c r="V30" s="946">
        <f>U31/U28*1000</f>
        <v>3214.5823693791526</v>
      </c>
      <c r="W30" s="233"/>
      <c r="X30" s="233"/>
    </row>
    <row r="31" spans="1:24" ht="30" customHeight="1" x14ac:dyDescent="0.25">
      <c r="A31" s="877"/>
      <c r="B31" s="535"/>
      <c r="C31" s="896" t="s">
        <v>26</v>
      </c>
      <c r="D31" s="886" t="s">
        <v>9</v>
      </c>
      <c r="E31" s="798">
        <f>E15</f>
        <v>475590.56218879006</v>
      </c>
      <c r="F31" s="798">
        <f t="shared" ref="F31:G31" si="29">F15</f>
        <v>481494.58451200998</v>
      </c>
      <c r="G31" s="798">
        <f t="shared" si="29"/>
        <v>565109.57846171991</v>
      </c>
      <c r="H31" s="909">
        <f>AVERAGE(E31:G31)</f>
        <v>507398.24172084004</v>
      </c>
      <c r="I31" s="524">
        <f>I15</f>
        <v>562129.82576123998</v>
      </c>
      <c r="J31" s="524">
        <f>J15</f>
        <v>538949.77943101001</v>
      </c>
      <c r="K31" s="524">
        <f>K15</f>
        <v>563347.90015872999</v>
      </c>
      <c r="L31" s="909">
        <f>AVERAGE(I31:K31)</f>
        <v>554809.16845032666</v>
      </c>
      <c r="M31" s="524">
        <f>M15</f>
        <v>574344.99498985999</v>
      </c>
      <c r="N31" s="524">
        <f t="shared" ref="N31:O31" si="30">N15</f>
        <v>571186.85757295997</v>
      </c>
      <c r="O31" s="524">
        <f t="shared" si="30"/>
        <v>571345.40521634999</v>
      </c>
      <c r="P31" s="909">
        <f>AVERAGE(M31:O31)</f>
        <v>572292.41925972339</v>
      </c>
      <c r="Q31" s="524">
        <f>Q15</f>
        <v>591481.52746869996</v>
      </c>
      <c r="R31" s="524">
        <f>R15</f>
        <v>618253.56157115009</v>
      </c>
      <c r="S31" s="524">
        <f>S15</f>
        <v>688552.49178575003</v>
      </c>
      <c r="T31" s="909">
        <f>AVERAGE(Q31:S31)</f>
        <v>632762.52694186673</v>
      </c>
      <c r="U31" s="932">
        <f>SUM(E31:G31,I31:K31,M31:O31,Q31:S31)</f>
        <v>6801787.0691182697</v>
      </c>
      <c r="V31" s="932">
        <f>AVERAGE(E31:G31,I31:K31,M31:O31,Q31:S31)</f>
        <v>566815.5890931891</v>
      </c>
      <c r="W31" s="233"/>
      <c r="X31" s="233"/>
    </row>
    <row r="32" spans="1:24" ht="33" customHeight="1" x14ac:dyDescent="0.25">
      <c r="A32" s="878"/>
      <c r="B32" s="947"/>
      <c r="C32" s="902" t="s">
        <v>20</v>
      </c>
      <c r="D32" s="890" t="s">
        <v>9</v>
      </c>
      <c r="E32" s="948">
        <f>E31/E7</f>
        <v>25031.082220462635</v>
      </c>
      <c r="F32" s="948">
        <f t="shared" ref="F32:G32" si="31">F31/F7</f>
        <v>24074.729225600498</v>
      </c>
      <c r="G32" s="948">
        <f t="shared" si="31"/>
        <v>24569.98167224869</v>
      </c>
      <c r="H32" s="914">
        <f>SUM(E31:G31)/SUM(E7:G7)</f>
        <v>24551.527825201938</v>
      </c>
      <c r="I32" s="949">
        <f>I31/I7</f>
        <v>26768.086941011428</v>
      </c>
      <c r="J32" s="949">
        <f>J31/J7</f>
        <v>26947.488971550501</v>
      </c>
      <c r="K32" s="949">
        <f>K31/K7</f>
        <v>26826.090483749045</v>
      </c>
      <c r="L32" s="914">
        <f>SUM(I31:K31)/SUM(I7:K7)</f>
        <v>26845.604925015807</v>
      </c>
      <c r="M32" s="949">
        <f>M31/M7</f>
        <v>26106.590681357273</v>
      </c>
      <c r="N32" s="949">
        <f>N31/N7</f>
        <v>25963.038980589088</v>
      </c>
      <c r="O32" s="949">
        <f>O31/O7</f>
        <v>25970.245691652271</v>
      </c>
      <c r="P32" s="914">
        <f>SUM(M31:O31)/SUM(M7:O7)</f>
        <v>26013.291784532881</v>
      </c>
      <c r="Q32" s="950">
        <f>Q31/Q7</f>
        <v>28165.787022319048</v>
      </c>
      <c r="R32" s="950">
        <f>R31/R7</f>
        <v>30912.678078557503</v>
      </c>
      <c r="S32" s="950">
        <f>S31/S7</f>
        <v>29937.06486025</v>
      </c>
      <c r="T32" s="914">
        <f>SUM(Q31:S31)/SUM(Q7:S7)</f>
        <v>29660.743450400001</v>
      </c>
      <c r="U32" s="951" t="s">
        <v>11</v>
      </c>
      <c r="V32" s="952">
        <f>U31/U7</f>
        <v>26778.689248497125</v>
      </c>
      <c r="W32" s="233"/>
      <c r="X32" s="233"/>
    </row>
    <row r="33" spans="1:24" s="135" customFormat="1" ht="30" customHeight="1" x14ac:dyDescent="0.25">
      <c r="A33" s="957" t="s">
        <v>392</v>
      </c>
      <c r="B33" s="957"/>
      <c r="C33" s="957"/>
      <c r="D33" s="957"/>
      <c r="E33" s="957"/>
      <c r="F33" s="957"/>
      <c r="G33" s="327"/>
      <c r="H33" s="327"/>
      <c r="I33" s="327"/>
      <c r="J33" s="327"/>
      <c r="K33" s="327"/>
      <c r="L33" s="327"/>
      <c r="M33" s="916"/>
      <c r="N33" s="916"/>
      <c r="O33" s="916"/>
      <c r="P33" s="916"/>
      <c r="Q33" s="916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490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500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8">
    <mergeCell ref="B13:B14"/>
    <mergeCell ref="A33:F33"/>
    <mergeCell ref="A3:V3"/>
    <mergeCell ref="A4:V4"/>
    <mergeCell ref="B5:C6"/>
    <mergeCell ref="B7:C7"/>
    <mergeCell ref="B8:C8"/>
    <mergeCell ref="B11:B12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43" orientation="landscape" r:id="rId1"/>
  <headerFooter alignWithMargins="0"/>
  <ignoredErrors>
    <ignoredError sqref="H10:H32 L10:L32 P10:P32 T10:T26 V10:V26" formula="1"/>
    <ignoredError sqref="Q10 Q12 Q14:Q18 Q20:Q22 Q24 Q26 Q28:Q32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BAA64-F3DF-4BAF-8CDB-D736C67F496C}">
  <dimension ref="A1:V37"/>
  <sheetViews>
    <sheetView topLeftCell="A5" zoomScale="75" zoomScaleNormal="75" workbookViewId="0">
      <pane ySplit="1" topLeftCell="A6" activePane="bottomLeft" state="frozen"/>
      <selection activeCell="A5" sqref="A5"/>
      <selection pane="bottomLeft" activeCell="B7" sqref="B7:C7"/>
    </sheetView>
  </sheetViews>
  <sheetFormatPr defaultRowHeight="11.5" x14ac:dyDescent="0.25"/>
  <cols>
    <col min="1" max="1" width="4.8984375" customWidth="1"/>
    <col min="2" max="2" width="19.69921875" customWidth="1"/>
    <col min="3" max="3" width="40" customWidth="1"/>
    <col min="4" max="4" width="10" customWidth="1"/>
    <col min="5" max="5" width="16" customWidth="1"/>
    <col min="6" max="7" width="15.8984375" customWidth="1"/>
    <col min="8" max="8" width="18" customWidth="1"/>
    <col min="9" max="9" width="15.8984375" customWidth="1"/>
    <col min="10" max="10" width="16" customWidth="1"/>
    <col min="11" max="11" width="15.8984375" customWidth="1"/>
    <col min="12" max="12" width="17.3984375" customWidth="1"/>
    <col min="13" max="15" width="16.69921875" customWidth="1"/>
    <col min="16" max="16" width="17.09765625" customWidth="1"/>
    <col min="17" max="19" width="15.8984375" customWidth="1"/>
    <col min="20" max="20" width="16.69921875" customWidth="1"/>
    <col min="21" max="21" width="18.296875" customWidth="1"/>
    <col min="22" max="22" width="16.296875" customWidth="1"/>
  </cols>
  <sheetData>
    <row r="1" spans="1:22" ht="17.5" x14ac:dyDescent="0.35">
      <c r="A1" s="818" t="s">
        <v>41</v>
      </c>
      <c r="B1" s="818"/>
      <c r="C1" s="818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0"/>
    </row>
    <row r="2" spans="1:22" ht="17.5" x14ac:dyDescent="0.35">
      <c r="A2" s="818" t="s">
        <v>0</v>
      </c>
      <c r="B2" s="818"/>
      <c r="C2" s="818"/>
      <c r="E2" s="819"/>
      <c r="F2" s="819"/>
      <c r="G2" s="819"/>
      <c r="H2" s="819"/>
      <c r="I2" s="819"/>
      <c r="J2" s="819"/>
      <c r="K2" s="588"/>
      <c r="L2" s="819"/>
      <c r="M2" s="819"/>
      <c r="N2" s="819"/>
      <c r="O2" s="819"/>
      <c r="P2" s="819"/>
      <c r="Q2" s="819"/>
      <c r="R2" s="819"/>
      <c r="S2" s="819"/>
      <c r="T2" s="819"/>
      <c r="U2" s="819"/>
      <c r="V2" s="819"/>
    </row>
    <row r="3" spans="1:22" ht="18" x14ac:dyDescent="0.4">
      <c r="A3" s="971" t="s">
        <v>42</v>
      </c>
      <c r="B3" s="971"/>
      <c r="C3" s="971"/>
      <c r="D3" s="971"/>
      <c r="E3" s="971"/>
      <c r="F3" s="971"/>
      <c r="G3" s="971"/>
      <c r="H3" s="971"/>
      <c r="I3" s="971"/>
      <c r="J3" s="971"/>
      <c r="K3" s="971"/>
      <c r="L3" s="971"/>
      <c r="M3" s="971"/>
      <c r="N3" s="971"/>
      <c r="O3" s="971"/>
      <c r="P3" s="971"/>
      <c r="Q3" s="971"/>
      <c r="R3" s="971"/>
      <c r="S3" s="971"/>
      <c r="T3" s="971"/>
      <c r="U3" s="971"/>
      <c r="V3" s="971"/>
    </row>
    <row r="4" spans="1:22" ht="18" x14ac:dyDescent="0.25">
      <c r="A4" s="972" t="s">
        <v>407</v>
      </c>
      <c r="B4" s="972"/>
      <c r="C4" s="972"/>
      <c r="D4" s="972"/>
      <c r="E4" s="972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</row>
    <row r="5" spans="1:22" ht="29.5" thickBot="1" x14ac:dyDescent="0.45">
      <c r="A5" s="662" t="s">
        <v>1</v>
      </c>
      <c r="B5" s="973" t="s">
        <v>2</v>
      </c>
      <c r="C5" s="974"/>
      <c r="D5" s="665" t="s">
        <v>3</v>
      </c>
      <c r="E5" s="666" t="s">
        <v>408</v>
      </c>
      <c r="F5" s="666" t="s">
        <v>409</v>
      </c>
      <c r="G5" s="666" t="s">
        <v>410</v>
      </c>
      <c r="H5" s="666" t="s">
        <v>388</v>
      </c>
      <c r="I5" s="666" t="s">
        <v>411</v>
      </c>
      <c r="J5" s="666" t="s">
        <v>412</v>
      </c>
      <c r="K5" s="666" t="s">
        <v>413</v>
      </c>
      <c r="L5" s="666" t="s">
        <v>389</v>
      </c>
      <c r="M5" s="666" t="s">
        <v>414</v>
      </c>
      <c r="N5" s="666" t="s">
        <v>415</v>
      </c>
      <c r="O5" s="666" t="s">
        <v>416</v>
      </c>
      <c r="P5" s="666" t="s">
        <v>390</v>
      </c>
      <c r="Q5" s="666" t="s">
        <v>417</v>
      </c>
      <c r="R5" s="666" t="s">
        <v>418</v>
      </c>
      <c r="S5" s="666" t="s">
        <v>419</v>
      </c>
      <c r="T5" s="666" t="s">
        <v>391</v>
      </c>
      <c r="U5" s="667" t="s">
        <v>46</v>
      </c>
      <c r="V5" s="668" t="s">
        <v>58</v>
      </c>
    </row>
    <row r="6" spans="1:22" ht="31.5" thickTop="1" x14ac:dyDescent="0.35">
      <c r="A6" s="663"/>
      <c r="B6" s="975"/>
      <c r="C6" s="976"/>
      <c r="D6" s="590" t="s">
        <v>4</v>
      </c>
      <c r="E6" s="583"/>
      <c r="F6" s="583"/>
      <c r="G6" s="583"/>
      <c r="H6" s="584" t="s">
        <v>45</v>
      </c>
      <c r="I6" s="585"/>
      <c r="J6" s="585"/>
      <c r="K6" s="585"/>
      <c r="L6" s="584" t="s">
        <v>45</v>
      </c>
      <c r="M6" s="585"/>
      <c r="N6" s="585"/>
      <c r="O6" s="585"/>
      <c r="P6" s="584" t="s">
        <v>45</v>
      </c>
      <c r="Q6" s="585"/>
      <c r="R6" s="585"/>
      <c r="S6" s="585"/>
      <c r="T6" s="584" t="s">
        <v>45</v>
      </c>
      <c r="U6" s="586" t="s">
        <v>53</v>
      </c>
      <c r="V6" s="587" t="s">
        <v>53</v>
      </c>
    </row>
    <row r="7" spans="1:22" ht="30" customHeight="1" x14ac:dyDescent="0.25">
      <c r="A7" s="821" t="s">
        <v>5</v>
      </c>
      <c r="B7" s="977" t="s">
        <v>6</v>
      </c>
      <c r="C7" s="977"/>
      <c r="D7" s="822"/>
      <c r="E7" s="792">
        <v>21</v>
      </c>
      <c r="F7" s="792">
        <v>20</v>
      </c>
      <c r="G7" s="792">
        <v>22</v>
      </c>
      <c r="H7" s="536">
        <f t="shared" ref="H7:H15" si="0">AVERAGE(E7:G7)</f>
        <v>21</v>
      </c>
      <c r="I7" s="792">
        <v>21</v>
      </c>
      <c r="J7" s="792">
        <v>20</v>
      </c>
      <c r="K7" s="792">
        <v>21</v>
      </c>
      <c r="L7" s="548">
        <f>AVERAGE(I7:K7)</f>
        <v>20.666666666666668</v>
      </c>
      <c r="M7" s="792">
        <v>23</v>
      </c>
      <c r="N7" s="792">
        <v>21</v>
      </c>
      <c r="O7" s="792">
        <v>22</v>
      </c>
      <c r="P7" s="536">
        <f>AVERAGE(M7:O7)</f>
        <v>22</v>
      </c>
      <c r="Q7" s="835">
        <v>22</v>
      </c>
      <c r="R7" s="835">
        <v>20</v>
      </c>
      <c r="S7" s="835">
        <v>22</v>
      </c>
      <c r="T7" s="536">
        <f>AVERAGE(Q7:S7)</f>
        <v>21.333333333333332</v>
      </c>
      <c r="U7" s="845">
        <f>SUM(E7:G7,I7:K7,M7:O7,Q7:S7)</f>
        <v>255</v>
      </c>
      <c r="V7" s="846">
        <f>AVERAGE(E7:G7,I7:K7,M7:O7,Q7:S7)</f>
        <v>21.25</v>
      </c>
    </row>
    <row r="8" spans="1:22" ht="30" customHeight="1" x14ac:dyDescent="0.25">
      <c r="A8" s="673" t="s">
        <v>7</v>
      </c>
      <c r="B8" s="978" t="s">
        <v>40</v>
      </c>
      <c r="C8" s="978"/>
      <c r="D8" s="674"/>
      <c r="E8" s="793">
        <v>39</v>
      </c>
      <c r="F8" s="793">
        <v>39</v>
      </c>
      <c r="G8" s="793">
        <v>39</v>
      </c>
      <c r="H8" s="537">
        <f t="shared" si="0"/>
        <v>39</v>
      </c>
      <c r="I8" s="793">
        <v>39</v>
      </c>
      <c r="J8" s="793">
        <v>39</v>
      </c>
      <c r="K8" s="793">
        <v>39</v>
      </c>
      <c r="L8" s="549">
        <f>AVERAGE(I8:K8)</f>
        <v>39</v>
      </c>
      <c r="M8" s="793">
        <v>39</v>
      </c>
      <c r="N8" s="793">
        <v>38</v>
      </c>
      <c r="O8" s="793">
        <v>38</v>
      </c>
      <c r="P8" s="537">
        <f>AVERAGE(M8:O8)</f>
        <v>38.333333333333336</v>
      </c>
      <c r="Q8" s="836">
        <v>38</v>
      </c>
      <c r="R8" s="836">
        <v>38</v>
      </c>
      <c r="S8" s="836">
        <v>38</v>
      </c>
      <c r="T8" s="537">
        <f>AVERAGE(Q8:S8)</f>
        <v>38</v>
      </c>
      <c r="U8" s="555" t="s">
        <v>11</v>
      </c>
      <c r="V8" s="556">
        <f>AVERAGE(E8:G8,I8:K8,M8:O8,Q8:S8)</f>
        <v>38.583333333333336</v>
      </c>
    </row>
    <row r="9" spans="1:22" ht="30.75" customHeight="1" x14ac:dyDescent="0.35">
      <c r="A9" s="821" t="s">
        <v>12</v>
      </c>
      <c r="B9" s="675" t="s">
        <v>27</v>
      </c>
      <c r="C9" s="676" t="s">
        <v>181</v>
      </c>
      <c r="D9" s="823" t="s">
        <v>9</v>
      </c>
      <c r="E9" s="794">
        <v>226964.6</v>
      </c>
      <c r="F9" s="794">
        <v>209890</v>
      </c>
      <c r="G9" s="794">
        <v>236625.3</v>
      </c>
      <c r="H9" s="538">
        <f t="shared" si="0"/>
        <v>224493.29999999996</v>
      </c>
      <c r="I9" s="808">
        <v>219733.97482488002</v>
      </c>
      <c r="J9" s="808">
        <v>209293.23343503001</v>
      </c>
      <c r="K9" s="811">
        <v>224829.80416731999</v>
      </c>
      <c r="L9" s="493">
        <f>AVERAGE(I9:K9)</f>
        <v>217952.33747574335</v>
      </c>
      <c r="M9" s="847">
        <v>238815.89410156003</v>
      </c>
      <c r="N9" s="794">
        <v>224736.67796207999</v>
      </c>
      <c r="O9" s="848">
        <v>233011.49515469</v>
      </c>
      <c r="P9" s="538">
        <f>AVERAGE(M9:O9)</f>
        <v>232188.02240610999</v>
      </c>
      <c r="Q9" s="837">
        <v>241415.62393468001</v>
      </c>
      <c r="R9" s="837">
        <v>235333.77343972999</v>
      </c>
      <c r="S9" s="837">
        <v>275250.93119810004</v>
      </c>
      <c r="T9" s="538">
        <f>AVERAGE(Q9:S9)</f>
        <v>250666.77619083668</v>
      </c>
      <c r="U9" s="849">
        <f>SUM(E9:G9,I9:K9,M9:O9,Q9:S9)</f>
        <v>2775901.3082180703</v>
      </c>
      <c r="V9" s="850">
        <f>AVERAGE(E9:G9,I9:K9,M9:O9,Q9:S9)</f>
        <v>231325.10901817252</v>
      </c>
    </row>
    <row r="10" spans="1:22" ht="30" customHeight="1" x14ac:dyDescent="0.25">
      <c r="A10" s="821"/>
      <c r="B10" s="678" t="s">
        <v>28</v>
      </c>
      <c r="C10" s="679" t="s">
        <v>10</v>
      </c>
      <c r="D10" s="680"/>
      <c r="E10" s="795">
        <f>E9/E15</f>
        <v>0.46911201021046162</v>
      </c>
      <c r="F10" s="795">
        <f t="shared" ref="F10:G10" si="1">F9/F15</f>
        <v>0.46724210960331169</v>
      </c>
      <c r="G10" s="795">
        <f t="shared" si="1"/>
        <v>0.46383176363707396</v>
      </c>
      <c r="H10" s="539">
        <f t="shared" si="0"/>
        <v>0.46672862781694907</v>
      </c>
      <c r="I10" s="513">
        <f>I9/I15</f>
        <v>0.4665642119928366</v>
      </c>
      <c r="J10" s="513">
        <f>J9/J15</f>
        <v>0.45409373891012333</v>
      </c>
      <c r="K10" s="513">
        <f>K9/K15</f>
        <v>0.46452204146975823</v>
      </c>
      <c r="L10" s="492">
        <f>SUM(I9:K9)/SUM(I15:K15)</f>
        <v>0.46180663702132058</v>
      </c>
      <c r="M10" s="513">
        <f>M9/M15</f>
        <v>0.46545631080370115</v>
      </c>
      <c r="N10" s="513">
        <f>N9/N15</f>
        <v>0.4706391227729631</v>
      </c>
      <c r="O10" s="513">
        <f>O9/O15</f>
        <v>0.46626303718279605</v>
      </c>
      <c r="P10" s="539">
        <f>SUM(M9:O9)/SUM(M15:O15)</f>
        <v>0.46738743292572976</v>
      </c>
      <c r="Q10" s="513">
        <f>Q9/Q15</f>
        <v>0.4632182792073482</v>
      </c>
      <c r="R10" s="513">
        <f>R9/R15</f>
        <v>0.46385899186876595</v>
      </c>
      <c r="S10" s="513">
        <f>S9/S15</f>
        <v>0.47621974013160073</v>
      </c>
      <c r="T10" s="539">
        <f>SUM(Q9:S9)/SUM(Q15:S15)</f>
        <v>0.46809832134455498</v>
      </c>
      <c r="U10" s="559" t="s">
        <v>11</v>
      </c>
      <c r="V10" s="560">
        <f>U9/U15</f>
        <v>0.46607705481717027</v>
      </c>
    </row>
    <row r="11" spans="1:22" ht="30" customHeight="1" x14ac:dyDescent="0.35">
      <c r="A11" s="673"/>
      <c r="B11" s="979" t="s">
        <v>29</v>
      </c>
      <c r="C11" s="681" t="s">
        <v>181</v>
      </c>
      <c r="D11" s="682" t="s">
        <v>9</v>
      </c>
      <c r="E11" s="796">
        <v>151603.6</v>
      </c>
      <c r="F11" s="796">
        <v>149991.5</v>
      </c>
      <c r="G11" s="796">
        <v>170579.7</v>
      </c>
      <c r="H11" s="540">
        <f t="shared" si="0"/>
        <v>157391.6</v>
      </c>
      <c r="I11" s="809">
        <v>155869.3225682</v>
      </c>
      <c r="J11" s="814">
        <v>162923.50034591</v>
      </c>
      <c r="K11" s="812">
        <v>163412.07958103999</v>
      </c>
      <c r="L11" s="494">
        <f>AVERAGE(I11:K11)</f>
        <v>160734.96749838334</v>
      </c>
      <c r="M11" s="600">
        <v>169965.66306966997</v>
      </c>
      <c r="N11" s="838">
        <v>156329.96769975999</v>
      </c>
      <c r="O11" s="838">
        <v>166184.06237212996</v>
      </c>
      <c r="P11" s="540">
        <f>AVERAGE(M11:O11)</f>
        <v>164159.89771385331</v>
      </c>
      <c r="Q11" s="796">
        <v>171839.40184490001</v>
      </c>
      <c r="R11" s="796">
        <v>166460.09218160002</v>
      </c>
      <c r="S11" s="796">
        <v>184088.30922946997</v>
      </c>
      <c r="T11" s="540">
        <f>AVERAGE(Q11:S11)</f>
        <v>174129.26775199</v>
      </c>
      <c r="U11" s="561">
        <f>SUM(E11:G11,I11:K11,M11:O11,Q11:S11)</f>
        <v>1969247.19889268</v>
      </c>
      <c r="V11" s="562">
        <f>AVERAGE(E11:G11,I11:K11,M11:O11,Q11:S11)</f>
        <v>164103.93324105666</v>
      </c>
    </row>
    <row r="12" spans="1:22" ht="30" customHeight="1" x14ac:dyDescent="0.25">
      <c r="A12" s="673"/>
      <c r="B12" s="979"/>
      <c r="C12" s="683" t="s">
        <v>10</v>
      </c>
      <c r="D12" s="684"/>
      <c r="E12" s="797">
        <f>E11/E15</f>
        <v>0.31334873170151972</v>
      </c>
      <c r="F12" s="797">
        <f t="shared" ref="F12:G12" si="2">F11/F15</f>
        <v>0.33390035200612289</v>
      </c>
      <c r="G12" s="797">
        <f t="shared" si="2"/>
        <v>0.33436949933791099</v>
      </c>
      <c r="H12" s="541">
        <f t="shared" si="0"/>
        <v>0.32720619434851783</v>
      </c>
      <c r="I12" s="519">
        <f>I11/I15</f>
        <v>0.33095950553776277</v>
      </c>
      <c r="J12" s="519">
        <f>J11/J15</f>
        <v>0.35348749796712908</v>
      </c>
      <c r="K12" s="519">
        <f>K11/K15</f>
        <v>0.33762655751508647</v>
      </c>
      <c r="L12" s="491">
        <f>SUM(I11:K11)/SUM(I15:K15)</f>
        <v>0.34057205190754519</v>
      </c>
      <c r="M12" s="597">
        <f>M11/M15</f>
        <v>0.33126601892782759</v>
      </c>
      <c r="N12" s="519">
        <f t="shared" ref="N12:O12" si="3">N11/N15</f>
        <v>0.32738313802856456</v>
      </c>
      <c r="O12" s="519">
        <f t="shared" si="3"/>
        <v>0.3325393264463799</v>
      </c>
      <c r="P12" s="541">
        <f>SUM(M11:O11)/SUM(M15:O15)</f>
        <v>0.33044888529017091</v>
      </c>
      <c r="Q12" s="519">
        <f>Q11/Q15</f>
        <v>0.32971831203498164</v>
      </c>
      <c r="R12" s="519">
        <f>R11/R15</f>
        <v>0.32810424707490476</v>
      </c>
      <c r="S12" s="519">
        <f>S11/S15</f>
        <v>0.3184966038114137</v>
      </c>
      <c r="T12" s="541">
        <f>SUM(Q11:S11)/SUM(Q15:S15)</f>
        <v>0.32517120605408223</v>
      </c>
      <c r="U12" s="563" t="s">
        <v>11</v>
      </c>
      <c r="V12" s="564">
        <f>U11/U15</f>
        <v>0.33063889265430618</v>
      </c>
    </row>
    <row r="13" spans="1:22" ht="30" customHeight="1" x14ac:dyDescent="0.35">
      <c r="A13" s="821"/>
      <c r="B13" s="969" t="s">
        <v>30</v>
      </c>
      <c r="C13" s="676" t="s">
        <v>181</v>
      </c>
      <c r="D13" s="823" t="s">
        <v>9</v>
      </c>
      <c r="E13" s="794">
        <v>103777.2</v>
      </c>
      <c r="F13" s="794">
        <v>87922.2</v>
      </c>
      <c r="G13" s="794">
        <v>101382</v>
      </c>
      <c r="H13" s="538">
        <f t="shared" si="0"/>
        <v>97693.8</v>
      </c>
      <c r="I13" s="808">
        <v>94026.389276150017</v>
      </c>
      <c r="J13" s="808">
        <v>87441.562080889998</v>
      </c>
      <c r="K13" s="811">
        <v>94370.828108109999</v>
      </c>
      <c r="L13" s="493">
        <f>AVERAGE(I13:K13)</f>
        <v>91946.259821716681</v>
      </c>
      <c r="M13" s="847">
        <v>102844.60945715</v>
      </c>
      <c r="N13" s="800">
        <v>94982.271873380014</v>
      </c>
      <c r="O13" s="800">
        <v>99091.720371460004</v>
      </c>
      <c r="P13" s="538">
        <f>AVERAGE(M13:O13)</f>
        <v>98972.867233996672</v>
      </c>
      <c r="Q13" s="837">
        <v>106432.05504656</v>
      </c>
      <c r="R13" s="837">
        <v>104134.61881001</v>
      </c>
      <c r="S13" s="837">
        <v>117102.04208046</v>
      </c>
      <c r="T13" s="538">
        <f>AVERAGE(Q13:S13)</f>
        <v>109222.90531234333</v>
      </c>
      <c r="U13" s="849">
        <f>SUM(E13:G13,I13:K13,M13:O13,Q13:S13)</f>
        <v>1193507.4971041698</v>
      </c>
      <c r="V13" s="850">
        <f>AVERAGE(E13:G13,I13:K13,M13:O13,Q13:S13)</f>
        <v>99458.958092014145</v>
      </c>
    </row>
    <row r="14" spans="1:22" ht="30" customHeight="1" x14ac:dyDescent="0.25">
      <c r="A14" s="821"/>
      <c r="B14" s="969"/>
      <c r="C14" s="685" t="s">
        <v>10</v>
      </c>
      <c r="D14" s="824"/>
      <c r="E14" s="795">
        <f>E13/E15</f>
        <v>0.21449658187229689</v>
      </c>
      <c r="F14" s="795">
        <f t="shared" ref="F14:G14" si="4">F13/F15</f>
        <v>0.1957261146741831</v>
      </c>
      <c r="G14" s="795">
        <f t="shared" si="4"/>
        <v>0.19872850393028063</v>
      </c>
      <c r="H14" s="539">
        <f t="shared" si="0"/>
        <v>0.20298373349225354</v>
      </c>
      <c r="I14" s="521">
        <f>I13/I15</f>
        <v>0.19964754314448147</v>
      </c>
      <c r="J14" s="521">
        <f>J13/J15</f>
        <v>0.18971786717499861</v>
      </c>
      <c r="K14" s="521">
        <f>K13/K15</f>
        <v>0.19498006454405323</v>
      </c>
      <c r="L14" s="492">
        <f>SUM(I13:K13)/SUM(I15:K15)</f>
        <v>0.19481962674376557</v>
      </c>
      <c r="M14" s="521">
        <f>M13/M15</f>
        <v>0.20044592376927467</v>
      </c>
      <c r="N14" s="521">
        <f t="shared" ref="N14:O14" si="5">N13/N15</f>
        <v>0.19891000222497426</v>
      </c>
      <c r="O14" s="521">
        <f t="shared" si="5"/>
        <v>0.19828552436605112</v>
      </c>
      <c r="P14" s="539">
        <f>SUM(M13:O13)/SUM(M15:O15)</f>
        <v>0.19922937396351884</v>
      </c>
      <c r="Q14" s="513">
        <f>Q13/Q15</f>
        <v>0.20421740974191779</v>
      </c>
      <c r="R14" s="513">
        <f>R13/R15</f>
        <v>0.20525646869050129</v>
      </c>
      <c r="S14" s="513">
        <f>S13/S15</f>
        <v>0.20260169077611961</v>
      </c>
      <c r="T14" s="539">
        <f>SUM(Q13:S13)/SUM(Q15:S15)</f>
        <v>0.20396424051889242</v>
      </c>
      <c r="U14" s="851" t="s">
        <v>11</v>
      </c>
      <c r="V14" s="566">
        <f>U13/U15</f>
        <v>0.20039129543463743</v>
      </c>
    </row>
    <row r="15" spans="1:22" ht="30" customHeight="1" x14ac:dyDescent="0.25">
      <c r="A15" s="673" t="s">
        <v>17</v>
      </c>
      <c r="B15" s="687" t="s">
        <v>13</v>
      </c>
      <c r="C15" s="687" t="s">
        <v>8</v>
      </c>
      <c r="D15" s="688" t="s">
        <v>9</v>
      </c>
      <c r="E15" s="798">
        <f>E17+E19</f>
        <v>483817.5</v>
      </c>
      <c r="F15" s="798">
        <f t="shared" ref="F15:G15" si="6">F17+F19</f>
        <v>449210.36800000002</v>
      </c>
      <c r="G15" s="798">
        <f t="shared" si="6"/>
        <v>510153.28951284999</v>
      </c>
      <c r="H15" s="542">
        <f t="shared" si="0"/>
        <v>481060.38583761669</v>
      </c>
      <c r="I15" s="798">
        <f>I17+I19</f>
        <v>470961.91515918006</v>
      </c>
      <c r="J15" s="798">
        <f>J17+J19</f>
        <v>460903.14730468998</v>
      </c>
      <c r="K15" s="798">
        <f>K17+K19</f>
        <v>484002.44573099999</v>
      </c>
      <c r="L15" s="550">
        <f>AVERAGE(I15:K15)</f>
        <v>471955.83606495667</v>
      </c>
      <c r="M15" s="798">
        <f>M17+M19</f>
        <v>513079.07650708995</v>
      </c>
      <c r="N15" s="798">
        <f t="shared" ref="N15:O15" si="7">N17+N19</f>
        <v>477513.80428798997</v>
      </c>
      <c r="O15" s="798">
        <f t="shared" si="7"/>
        <v>499742.58427724999</v>
      </c>
      <c r="P15" s="542">
        <f>AVERAGE(M15:O15)</f>
        <v>496778.48835744336</v>
      </c>
      <c r="Q15" s="798">
        <f>Q17+Q19</f>
        <v>521170.33107542002</v>
      </c>
      <c r="R15" s="798">
        <f>R17+R19</f>
        <v>507339.03527801001</v>
      </c>
      <c r="S15" s="798">
        <f>S17+S19</f>
        <v>577991.43547060003</v>
      </c>
      <c r="T15" s="542">
        <f>AVERAGE(Q15:S15)</f>
        <v>535500.26727467671</v>
      </c>
      <c r="U15" s="567">
        <f>SUM(E15:G15,I15:K15,M15:O15,Q15:S15)</f>
        <v>5955884.9326040801</v>
      </c>
      <c r="V15" s="567">
        <f>AVERAGE(E15:G15,I15:K15,M15:O15,Q15:S15)</f>
        <v>496323.74438367336</v>
      </c>
    </row>
    <row r="16" spans="1:22" ht="30" customHeight="1" x14ac:dyDescent="0.25">
      <c r="A16" s="673"/>
      <c r="B16" s="689" t="s">
        <v>14</v>
      </c>
      <c r="C16" s="689" t="s">
        <v>15</v>
      </c>
      <c r="D16" s="690" t="s">
        <v>9</v>
      </c>
      <c r="E16" s="799">
        <f>E15/E7</f>
        <v>23038.928571428572</v>
      </c>
      <c r="F16" s="799">
        <f t="shared" ref="F16:G16" si="8">F15/F7</f>
        <v>22460.518400000001</v>
      </c>
      <c r="G16" s="799">
        <f t="shared" si="8"/>
        <v>23188.785886947728</v>
      </c>
      <c r="H16" s="543">
        <f>SUM(E15:G15)/SUM(E7:G7)</f>
        <v>22907.637420838892</v>
      </c>
      <c r="I16" s="799">
        <f>I15/I7</f>
        <v>22426.757864722858</v>
      </c>
      <c r="J16" s="799">
        <f>J15/J7</f>
        <v>23045.1573652345</v>
      </c>
      <c r="K16" s="799">
        <f>K15/K7</f>
        <v>23047.735510999999</v>
      </c>
      <c r="L16" s="497">
        <f>SUM(I15:K15)/SUM(I7:K7)</f>
        <v>22836.572712820485</v>
      </c>
      <c r="M16" s="799">
        <f>M15/M7</f>
        <v>22307.785935090866</v>
      </c>
      <c r="N16" s="799">
        <f t="shared" ref="N16:O16" si="9">N15/N7</f>
        <v>22738.752585142378</v>
      </c>
      <c r="O16" s="799">
        <f t="shared" si="9"/>
        <v>22715.572012602272</v>
      </c>
      <c r="P16" s="543">
        <f>SUM(M15:O15)/SUM(M7:O7)</f>
        <v>22580.84037988379</v>
      </c>
      <c r="Q16" s="799">
        <f>Q15/Q7</f>
        <v>23689.560503428183</v>
      </c>
      <c r="R16" s="799">
        <f>R15/R7</f>
        <v>25366.951763900499</v>
      </c>
      <c r="S16" s="799">
        <f>S15/S7</f>
        <v>26272.337975936363</v>
      </c>
      <c r="T16" s="543">
        <f>SUM(Q15:S15)/SUM(Q7:S7)</f>
        <v>25101.575028500469</v>
      </c>
      <c r="U16" s="568" t="s">
        <v>11</v>
      </c>
      <c r="V16" s="569">
        <f>U15/U7</f>
        <v>23356.411500408158</v>
      </c>
    </row>
    <row r="17" spans="1:22" ht="30" customHeight="1" x14ac:dyDescent="0.35">
      <c r="A17" s="825"/>
      <c r="B17" s="692" t="s">
        <v>36</v>
      </c>
      <c r="C17" s="676" t="s">
        <v>8</v>
      </c>
      <c r="D17" s="823" t="s">
        <v>9</v>
      </c>
      <c r="E17" s="800">
        <f>E9+E11+E13</f>
        <v>482345.4</v>
      </c>
      <c r="F17" s="800">
        <f t="shared" ref="F17:G17" si="10">F9+F11+F13</f>
        <v>447803.7</v>
      </c>
      <c r="G17" s="800">
        <f t="shared" si="10"/>
        <v>508587</v>
      </c>
      <c r="H17" s="538">
        <f>AVERAGE(E17:G17)</f>
        <v>479578.7</v>
      </c>
      <c r="I17" s="800">
        <f>I9+I11+I13</f>
        <v>469629.68666923005</v>
      </c>
      <c r="J17" s="800">
        <f>J9+J11+J13</f>
        <v>459658.29586183</v>
      </c>
      <c r="K17" s="800">
        <f>K9+K11+K13</f>
        <v>482612.71185646998</v>
      </c>
      <c r="L17" s="493">
        <f>AVERAGE(I17:K17)</f>
        <v>470633.56479584333</v>
      </c>
      <c r="M17" s="800">
        <f>M9+M11+M13</f>
        <v>511626.16662837996</v>
      </c>
      <c r="N17" s="800">
        <f t="shared" ref="N17:O17" si="11">N9+N11+N13</f>
        <v>476048.91753521998</v>
      </c>
      <c r="O17" s="800">
        <f t="shared" si="11"/>
        <v>498287.27789828001</v>
      </c>
      <c r="P17" s="538">
        <f>AVERAGE(M17:O17)</f>
        <v>495320.78735395992</v>
      </c>
      <c r="Q17" s="800">
        <f>Q9+Q11+Q13</f>
        <v>519687.08082614001</v>
      </c>
      <c r="R17" s="800">
        <f t="shared" ref="R17:S17" si="12">R9+R11+R13</f>
        <v>505928.48443134001</v>
      </c>
      <c r="S17" s="800">
        <f t="shared" si="12"/>
        <v>576441.28250803007</v>
      </c>
      <c r="T17" s="538">
        <f>AVERAGE(Q17:S17)</f>
        <v>534018.94925516995</v>
      </c>
      <c r="U17" s="850">
        <f>SUM(E17:G17,I17:K17,M17:O17,Q17:S17)</f>
        <v>5938656.0042149201</v>
      </c>
      <c r="V17" s="850">
        <f>AVERAGE(E17:G17,I17:K17,M17:O17,Q18,Q18,Q17,Q17:S17)</f>
        <v>430556.33862327092</v>
      </c>
    </row>
    <row r="18" spans="1:22" ht="30" customHeight="1" x14ac:dyDescent="0.25">
      <c r="A18" s="826"/>
      <c r="B18" s="694" t="s">
        <v>32</v>
      </c>
      <c r="C18" s="695" t="s">
        <v>10</v>
      </c>
      <c r="D18" s="824"/>
      <c r="E18" s="801">
        <f>E17/E15</f>
        <v>0.99695732378427826</v>
      </c>
      <c r="F18" s="801">
        <f t="shared" ref="F18:G18" si="13">F17/F15</f>
        <v>0.99686857628361769</v>
      </c>
      <c r="G18" s="801">
        <f t="shared" si="13"/>
        <v>0.99692976690526558</v>
      </c>
      <c r="H18" s="539">
        <f>AVERAGE(E18:G18)</f>
        <v>0.99691855565772058</v>
      </c>
      <c r="I18" s="521">
        <f>I17/I15</f>
        <v>0.99717126067508088</v>
      </c>
      <c r="J18" s="521">
        <f>J17/J15</f>
        <v>0.99729910405225108</v>
      </c>
      <c r="K18" s="521">
        <f>K17/K15</f>
        <v>0.99712866352889795</v>
      </c>
      <c r="L18" s="492">
        <f>SUM(I17:K17)/SUM(I15:K15)</f>
        <v>0.99719831567263129</v>
      </c>
      <c r="M18" s="521">
        <f>M17/M15</f>
        <v>0.9971682535008034</v>
      </c>
      <c r="N18" s="521">
        <f t="shared" ref="N18:O18" si="14">N17/N15</f>
        <v>0.99693226302650195</v>
      </c>
      <c r="O18" s="521">
        <f t="shared" si="14"/>
        <v>0.99708788799522718</v>
      </c>
      <c r="P18" s="539">
        <f>SUM(M17:O17)/SUM(M15:O15)</f>
        <v>0.99706569217941943</v>
      </c>
      <c r="Q18" s="513">
        <f>Q17/Q15</f>
        <v>0.99715400098424756</v>
      </c>
      <c r="R18" s="513">
        <f>R17/R15</f>
        <v>0.997219707634172</v>
      </c>
      <c r="S18" s="513">
        <f>S17/S15</f>
        <v>0.99731803471913416</v>
      </c>
      <c r="T18" s="539">
        <f>SUM(Q17:S17)/SUM(Q15:S15)</f>
        <v>0.9972337679175296</v>
      </c>
      <c r="U18" s="851" t="s">
        <v>11</v>
      </c>
      <c r="V18" s="566">
        <f>U17/U15</f>
        <v>0.99710724290611386</v>
      </c>
    </row>
    <row r="19" spans="1:22" ht="30" customHeight="1" x14ac:dyDescent="0.35">
      <c r="A19" s="696"/>
      <c r="B19" s="697" t="s">
        <v>36</v>
      </c>
      <c r="C19" s="681" t="s">
        <v>8</v>
      </c>
      <c r="D19" s="682" t="s">
        <v>9</v>
      </c>
      <c r="E19" s="796">
        <v>1472.1</v>
      </c>
      <c r="F19" s="796">
        <v>1406.6679999999999</v>
      </c>
      <c r="G19" s="796">
        <v>1566.2895128499999</v>
      </c>
      <c r="H19" s="540">
        <f>AVERAGE(E19:G19)</f>
        <v>1481.6858376166667</v>
      </c>
      <c r="I19" s="810">
        <v>1332.22848995</v>
      </c>
      <c r="J19" s="815">
        <v>1244.8514428600001</v>
      </c>
      <c r="K19" s="816">
        <v>1389.7338745300001</v>
      </c>
      <c r="L19" s="494">
        <f>AVERAGE(I19:K19)</f>
        <v>1322.2712691133336</v>
      </c>
      <c r="M19" s="600">
        <v>1452.9098787099999</v>
      </c>
      <c r="N19" s="838">
        <v>1464.8867527700004</v>
      </c>
      <c r="O19" s="838">
        <v>1455.3063789700004</v>
      </c>
      <c r="P19" s="540">
        <f>AVERAGE(M19:O19)</f>
        <v>1457.7010034833336</v>
      </c>
      <c r="Q19" s="796">
        <v>1483.2502492799999</v>
      </c>
      <c r="R19" s="796">
        <v>1410.5508466700001</v>
      </c>
      <c r="S19" s="796">
        <v>1550.15296257</v>
      </c>
      <c r="T19" s="540">
        <f>AVERAGE(Q19:S19)</f>
        <v>1481.3180195066664</v>
      </c>
      <c r="U19" s="562">
        <f>SUM(E19:G19,I19:K19,M19:O19,Q19:S19)</f>
        <v>17228.928389159999</v>
      </c>
      <c r="V19" s="562">
        <f>AVERAGE(E19:G19,I19:K19,M19:O19,Q19:S19)</f>
        <v>1435.7440324299998</v>
      </c>
    </row>
    <row r="20" spans="1:22" ht="30" customHeight="1" x14ac:dyDescent="0.25">
      <c r="A20" s="698"/>
      <c r="B20" s="699" t="s">
        <v>31</v>
      </c>
      <c r="C20" s="700" t="s">
        <v>10</v>
      </c>
      <c r="D20" s="684"/>
      <c r="E20" s="802">
        <f>E19/E15</f>
        <v>3.0426762157218369E-3</v>
      </c>
      <c r="F20" s="802">
        <f t="shared" ref="F20:G20" si="15">F19/F15</f>
        <v>3.1314237163822538E-3</v>
      </c>
      <c r="G20" s="802">
        <f t="shared" si="15"/>
        <v>3.0702330947344554E-3</v>
      </c>
      <c r="H20" s="541">
        <f>AVERAGE(E20:G20)</f>
        <v>3.0814443422795151E-3</v>
      </c>
      <c r="I20" s="519">
        <f>I19/I15</f>
        <v>2.8287393249191309E-3</v>
      </c>
      <c r="J20" s="519">
        <f>J19/J15</f>
        <v>2.7008959477490056E-3</v>
      </c>
      <c r="K20" s="519">
        <f>K19/K15</f>
        <v>2.8713364711020276E-3</v>
      </c>
      <c r="L20" s="491">
        <f>SUM(I19:K19)/SUM(I15:K15)</f>
        <v>2.8016843273686001E-3</v>
      </c>
      <c r="M20" s="519">
        <f>M19/M15</f>
        <v>2.8317464991966458E-3</v>
      </c>
      <c r="N20" s="519">
        <f t="shared" ref="N20:O20" si="16">N19/N15</f>
        <v>3.0677369734980957E-3</v>
      </c>
      <c r="O20" s="519">
        <f t="shared" si="16"/>
        <v>2.9121120047728762E-3</v>
      </c>
      <c r="P20" s="541">
        <f>SUM(M19:O19)/SUM(M15:O15)</f>
        <v>2.9343078205803564E-3</v>
      </c>
      <c r="Q20" s="519">
        <f>Q19/Q15</f>
        <v>2.8459990157524043E-3</v>
      </c>
      <c r="R20" s="519">
        <f>R19/R15</f>
        <v>2.7802923658280126E-3</v>
      </c>
      <c r="S20" s="519">
        <f>S19/S15</f>
        <v>2.6819652808659131E-3</v>
      </c>
      <c r="T20" s="541">
        <f>SUM(Q19:S19)/SUM(Q15:S15)</f>
        <v>2.766232082470366E-3</v>
      </c>
      <c r="U20" s="570" t="s">
        <v>11</v>
      </c>
      <c r="V20" s="564">
        <f>U19/U15</f>
        <v>2.8927570938861351E-3</v>
      </c>
    </row>
    <row r="21" spans="1:22" ht="30" customHeight="1" x14ac:dyDescent="0.25">
      <c r="A21" s="821" t="s">
        <v>24</v>
      </c>
      <c r="B21" s="701" t="s">
        <v>37</v>
      </c>
      <c r="C21" s="701" t="s">
        <v>19</v>
      </c>
      <c r="D21" s="827" t="s">
        <v>16</v>
      </c>
      <c r="E21" s="803">
        <f>E23+E25</f>
        <v>161385.63200000001</v>
      </c>
      <c r="F21" s="803">
        <f t="shared" ref="F21:G21" si="17">F23+F25</f>
        <v>157731.09599999999</v>
      </c>
      <c r="G21" s="803">
        <f t="shared" si="17"/>
        <v>174147.696</v>
      </c>
      <c r="H21" s="544">
        <f>AVERAGE(E21:G21)</f>
        <v>164421.47466666668</v>
      </c>
      <c r="I21" s="803">
        <f>I23+I25</f>
        <v>166104.071</v>
      </c>
      <c r="J21" s="803">
        <f>J23+J25</f>
        <v>159378.75099999999</v>
      </c>
      <c r="K21" s="803">
        <f>K23+K25</f>
        <v>167120.046</v>
      </c>
      <c r="L21" s="499">
        <f>AVERAGE(I21:K21)</f>
        <v>164200.95600000001</v>
      </c>
      <c r="M21" s="803">
        <f>M23+M25</f>
        <v>171739.93699999998</v>
      </c>
      <c r="N21" s="803">
        <f t="shared" ref="N21:O21" si="18">N23+N25</f>
        <v>158897.242</v>
      </c>
      <c r="O21" s="803">
        <f t="shared" si="18"/>
        <v>169959.80600000001</v>
      </c>
      <c r="P21" s="544">
        <f>AVERAGE(M21:O21)</f>
        <v>166865.66166666665</v>
      </c>
      <c r="Q21" s="839">
        <f>Q23+Q25</f>
        <v>173552.51699999999</v>
      </c>
      <c r="R21" s="839">
        <f>R23+R25</f>
        <v>170439.89099999997</v>
      </c>
      <c r="S21" s="839">
        <f>S23+S25</f>
        <v>184255.34700000001</v>
      </c>
      <c r="T21" s="544">
        <f>AVERAGE(Q21:S21)</f>
        <v>176082.58499999996</v>
      </c>
      <c r="U21" s="852">
        <f>SUM(E21:G21,I21:K21,M21:O21,Q21:S21)</f>
        <v>2014712.0320000004</v>
      </c>
      <c r="V21" s="572">
        <f>AVERAGE(E21:G21,I21:K21,M21:O21,Q21:S21)</f>
        <v>167892.66933333335</v>
      </c>
    </row>
    <row r="22" spans="1:22" ht="30" customHeight="1" x14ac:dyDescent="0.25">
      <c r="A22" s="821"/>
      <c r="B22" s="703" t="s">
        <v>14</v>
      </c>
      <c r="C22" s="703" t="s">
        <v>38</v>
      </c>
      <c r="D22" s="828" t="s">
        <v>16</v>
      </c>
      <c r="E22" s="804">
        <f>E21/E7</f>
        <v>7685.0300952380958</v>
      </c>
      <c r="F22" s="804">
        <f>F21/F7</f>
        <v>7886.5547999999999</v>
      </c>
      <c r="G22" s="804">
        <f>G21/G7</f>
        <v>7915.8043636363636</v>
      </c>
      <c r="H22" s="545">
        <f>SUM(E21:G21)/SUM(E7:G7)</f>
        <v>7829.5940317460318</v>
      </c>
      <c r="I22" s="804">
        <f>I21/I7</f>
        <v>7909.7176666666664</v>
      </c>
      <c r="J22" s="804">
        <f>J21/J7</f>
        <v>7968.9375499999996</v>
      </c>
      <c r="K22" s="804">
        <f>K21/K7</f>
        <v>7958.0974285714283</v>
      </c>
      <c r="L22" s="551">
        <f>SUM(I21:K21)/SUM(I7:K7)</f>
        <v>7945.2075483870967</v>
      </c>
      <c r="M22" s="804">
        <f>M21/M7</f>
        <v>7466.9537826086944</v>
      </c>
      <c r="N22" s="804">
        <f t="shared" ref="N22:O22" si="19">N21/N7</f>
        <v>7566.5353333333333</v>
      </c>
      <c r="O22" s="804">
        <f t="shared" si="19"/>
        <v>7725.4457272727277</v>
      </c>
      <c r="P22" s="545">
        <f>SUM(M21:O21)/SUM(M7:O7)</f>
        <v>7584.802803030303</v>
      </c>
      <c r="Q22" s="840">
        <f>Q21/Q7</f>
        <v>7888.7507727272723</v>
      </c>
      <c r="R22" s="840">
        <f>R21/R7</f>
        <v>8521.9945499999994</v>
      </c>
      <c r="S22" s="840">
        <f>S21/S7</f>
        <v>8375.2430454545465</v>
      </c>
      <c r="T22" s="545">
        <f>SUM(Q21:S21)/SUM(Q7:S7)</f>
        <v>8253.8711718749983</v>
      </c>
      <c r="U22" s="853" t="s">
        <v>11</v>
      </c>
      <c r="V22" s="574">
        <f>U21/U7</f>
        <v>7900.831498039217</v>
      </c>
    </row>
    <row r="23" spans="1:22" ht="30" customHeight="1" x14ac:dyDescent="0.35">
      <c r="A23" s="696"/>
      <c r="B23" s="697" t="s">
        <v>36</v>
      </c>
      <c r="C23" s="681" t="s">
        <v>19</v>
      </c>
      <c r="D23" s="682" t="s">
        <v>16</v>
      </c>
      <c r="E23" s="796">
        <v>159613.23200000002</v>
      </c>
      <c r="F23" s="796">
        <v>156086.196</v>
      </c>
      <c r="G23" s="796">
        <v>172317.696</v>
      </c>
      <c r="H23" s="540">
        <f>AVERAGE(E23:G23)</f>
        <v>162672.37466666667</v>
      </c>
      <c r="I23" s="796">
        <v>164434.326</v>
      </c>
      <c r="J23" s="796">
        <v>157755.709</v>
      </c>
      <c r="K23" s="796">
        <v>165377.88500000001</v>
      </c>
      <c r="L23" s="494">
        <f>AVERAGE(I23:K23)</f>
        <v>162522.64000000001</v>
      </c>
      <c r="M23" s="838">
        <v>169978.28399999999</v>
      </c>
      <c r="N23" s="838">
        <v>157199.60399999999</v>
      </c>
      <c r="O23" s="838">
        <v>168277.55100000001</v>
      </c>
      <c r="P23" s="540">
        <f>+AVERAGE(M23:O23)</f>
        <v>165151.81299999999</v>
      </c>
      <c r="Q23" s="796">
        <v>171854.21799999999</v>
      </c>
      <c r="R23" s="796">
        <v>168785.74599999998</v>
      </c>
      <c r="S23" s="796">
        <v>182522.742</v>
      </c>
      <c r="T23" s="540">
        <f>+AVERAGE(Q23:S23)</f>
        <v>174387.56866666666</v>
      </c>
      <c r="U23" s="562">
        <f>SUM(E23:G23,I23:K23,M23:O23,Q23:S23)</f>
        <v>1994203.189</v>
      </c>
      <c r="V23" s="562">
        <f>AVERAGE(E23:G23,I23:K23,L23:O24)</f>
        <v>116683.36299567008</v>
      </c>
    </row>
    <row r="24" spans="1:22" ht="30" customHeight="1" x14ac:dyDescent="0.25">
      <c r="A24" s="698"/>
      <c r="B24" s="699" t="s">
        <v>32</v>
      </c>
      <c r="C24" s="700" t="s">
        <v>21</v>
      </c>
      <c r="D24" s="684"/>
      <c r="E24" s="802">
        <f>E23/E21</f>
        <v>0.98901760969650632</v>
      </c>
      <c r="F24" s="802">
        <f t="shared" ref="F24:G24" si="20">F23/F21</f>
        <v>0.98957149197771377</v>
      </c>
      <c r="G24" s="802">
        <f t="shared" si="20"/>
        <v>0.98949167837397056</v>
      </c>
      <c r="H24" s="541">
        <f>SUM(E23:G23)/SUM(E21:G21)</f>
        <v>0.98936209516703355</v>
      </c>
      <c r="I24" s="519">
        <f>I23/I21</f>
        <v>0.9899475973710482</v>
      </c>
      <c r="J24" s="519">
        <f>J23/J21</f>
        <v>0.98981644673573843</v>
      </c>
      <c r="K24" s="519">
        <f>K23/K21</f>
        <v>0.9895753918114647</v>
      </c>
      <c r="L24" s="491">
        <f>SUM(I23:K23)/SUM(I21:K21)</f>
        <v>0.98977889020329457</v>
      </c>
      <c r="M24" s="519">
        <f>M23/M21</f>
        <v>0.98974232184561717</v>
      </c>
      <c r="N24" s="519">
        <f t="shared" ref="N24:O24" si="21">N23/N21</f>
        <v>0.98931612670785052</v>
      </c>
      <c r="O24" s="519">
        <f t="shared" si="21"/>
        <v>0.9901020421263601</v>
      </c>
      <c r="P24" s="541">
        <f>SUM(M23:O23)/SUM(M21:O21)</f>
        <v>0.98972917106162761</v>
      </c>
      <c r="Q24" s="519">
        <f>Q23/Q21</f>
        <v>0.99021449513175308</v>
      </c>
      <c r="R24" s="519">
        <f>R23/R21</f>
        <v>0.99029484828759962</v>
      </c>
      <c r="S24" s="519">
        <f>S23/S21</f>
        <v>0.99059671793405257</v>
      </c>
      <c r="T24" s="541">
        <f>SUM(Q23:S23)/SUM(Q21:S21)</f>
        <v>0.99037374233611297</v>
      </c>
      <c r="U24" s="575" t="s">
        <v>11</v>
      </c>
      <c r="V24" s="564">
        <f>U23/U21</f>
        <v>0.98982045936379237</v>
      </c>
    </row>
    <row r="25" spans="1:22" ht="30" customHeight="1" x14ac:dyDescent="0.35">
      <c r="A25" s="825"/>
      <c r="B25" s="692" t="s">
        <v>36</v>
      </c>
      <c r="C25" s="676" t="s">
        <v>19</v>
      </c>
      <c r="D25" s="823" t="s">
        <v>16</v>
      </c>
      <c r="E25" s="794">
        <v>1772.4</v>
      </c>
      <c r="F25" s="794">
        <v>1644.9</v>
      </c>
      <c r="G25" s="794">
        <v>1830</v>
      </c>
      <c r="H25" s="538">
        <f>AVERAGE(E25:G25)</f>
        <v>1749.1000000000001</v>
      </c>
      <c r="I25" s="794">
        <v>1669.7449999999999</v>
      </c>
      <c r="J25" s="794">
        <v>1623.0419999999999</v>
      </c>
      <c r="K25" s="794">
        <v>1742.1610000000001</v>
      </c>
      <c r="L25" s="493">
        <f>AVERAGE(I25:K25)</f>
        <v>1678.316</v>
      </c>
      <c r="M25" s="794">
        <v>1761.653</v>
      </c>
      <c r="N25" s="800">
        <v>1697.6379999999999</v>
      </c>
      <c r="O25" s="800">
        <v>1682.2550000000001</v>
      </c>
      <c r="P25" s="538">
        <f>AVERAGE(M25:O25)</f>
        <v>1713.8486666666668</v>
      </c>
      <c r="Q25" s="837">
        <v>1698.299</v>
      </c>
      <c r="R25" s="837">
        <v>1654.145</v>
      </c>
      <c r="S25" s="789">
        <v>1732.605</v>
      </c>
      <c r="T25" s="538">
        <f>AVERAGE(Q25:S25)</f>
        <v>1695.0163333333333</v>
      </c>
      <c r="U25" s="850">
        <f>SUM(E25:G25,I25:K25,M25:O25,Q25:S25)</f>
        <v>20508.843000000001</v>
      </c>
      <c r="V25" s="854">
        <f>AVERAGE(E25:G25,I25:K25,M25:O25,Q25:S25)</f>
        <v>1709.07025</v>
      </c>
    </row>
    <row r="26" spans="1:22" ht="30" customHeight="1" x14ac:dyDescent="0.25">
      <c r="A26" s="826"/>
      <c r="B26" s="694" t="s">
        <v>31</v>
      </c>
      <c r="C26" s="695" t="s">
        <v>21</v>
      </c>
      <c r="D26" s="824"/>
      <c r="E26" s="801">
        <f>E25/E21</f>
        <v>1.0982390303493683E-2</v>
      </c>
      <c r="F26" s="801">
        <f t="shared" ref="F26:G26" si="22">F25/F21</f>
        <v>1.0428508022286235E-2</v>
      </c>
      <c r="G26" s="801">
        <f t="shared" si="22"/>
        <v>1.0508321626029436E-2</v>
      </c>
      <c r="H26" s="539">
        <f>SUM(E25:G25)/SUM(E21:G21)</f>
        <v>1.0637904832966425E-2</v>
      </c>
      <c r="I26" s="521">
        <f>I25/I21</f>
        <v>1.0052402628951821E-2</v>
      </c>
      <c r="J26" s="521">
        <f>J25/J21</f>
        <v>1.0183553264261683E-2</v>
      </c>
      <c r="K26" s="521">
        <f>K25/K21</f>
        <v>1.0424608188535325E-2</v>
      </c>
      <c r="L26" s="492">
        <f>SUM(I25:K25)/SUM(I21:K21)</f>
        <v>1.0221109796705447E-2</v>
      </c>
      <c r="M26" s="521">
        <f>M25/M21</f>
        <v>1.0257678154382928E-2</v>
      </c>
      <c r="N26" s="521">
        <f t="shared" ref="N26:O26" si="23">N25/N21</f>
        <v>1.06838732921494E-2</v>
      </c>
      <c r="O26" s="521">
        <f t="shared" si="23"/>
        <v>9.8979578736398417E-3</v>
      </c>
      <c r="P26" s="539">
        <f>SUM(M25:O25)/SUM(M21:O21)</f>
        <v>1.0270828938372452E-2</v>
      </c>
      <c r="Q26" s="513">
        <f>Q25/Q21</f>
        <v>9.7855048682468845E-3</v>
      </c>
      <c r="R26" s="513">
        <f>R25/R21</f>
        <v>9.7051517124004741E-3</v>
      </c>
      <c r="S26" s="513">
        <f>S25/S21</f>
        <v>9.4032820659473177E-3</v>
      </c>
      <c r="T26" s="539">
        <f>SUM(Q25:S25)/SUM(Q21:S21)</f>
        <v>9.6262576638872811E-3</v>
      </c>
      <c r="U26" s="577" t="s">
        <v>11</v>
      </c>
      <c r="V26" s="851">
        <f>U25/U21</f>
        <v>1.0179540636207407E-2</v>
      </c>
    </row>
    <row r="27" spans="1:22" ht="30" customHeight="1" x14ac:dyDescent="0.25">
      <c r="A27" s="673" t="s">
        <v>33</v>
      </c>
      <c r="B27" s="687" t="s">
        <v>34</v>
      </c>
      <c r="C27" s="689" t="s">
        <v>18</v>
      </c>
      <c r="D27" s="690"/>
      <c r="E27" s="805">
        <v>2548</v>
      </c>
      <c r="F27" s="805">
        <v>2548</v>
      </c>
      <c r="G27" s="805">
        <v>2548</v>
      </c>
      <c r="H27" s="546">
        <f>AVERAGE(E27:G27)</f>
        <v>2548</v>
      </c>
      <c r="I27" s="805">
        <v>2548</v>
      </c>
      <c r="J27" s="805">
        <v>2548</v>
      </c>
      <c r="K27" s="805">
        <v>2548</v>
      </c>
      <c r="L27" s="552">
        <f>AVERAGE(I27:K27)</f>
        <v>2548</v>
      </c>
      <c r="M27" s="805">
        <v>2546</v>
      </c>
      <c r="N27" s="805">
        <v>2543</v>
      </c>
      <c r="O27" s="805">
        <v>2541</v>
      </c>
      <c r="P27" s="546">
        <f>AVERAGE(M27:O27)</f>
        <v>2543.3333333333335</v>
      </c>
      <c r="Q27" s="841">
        <v>2538</v>
      </c>
      <c r="R27" s="841">
        <v>2534</v>
      </c>
      <c r="S27" s="841">
        <v>2527</v>
      </c>
      <c r="T27" s="546">
        <f>AVERAGE(Q27:S27)</f>
        <v>2533</v>
      </c>
      <c r="U27" s="578" t="s">
        <v>11</v>
      </c>
      <c r="V27" s="579">
        <f>AVERAGE(E27:G27,I27:K27,M27:O27,Q27:S27)</f>
        <v>2543.0833333333335</v>
      </c>
    </row>
    <row r="28" spans="1:22" ht="30" customHeight="1" x14ac:dyDescent="0.25">
      <c r="A28" s="829"/>
      <c r="B28" s="829"/>
      <c r="C28" s="701" t="s">
        <v>19</v>
      </c>
      <c r="D28" s="827" t="s">
        <v>16</v>
      </c>
      <c r="E28" s="803">
        <f>E21</f>
        <v>161385.63200000001</v>
      </c>
      <c r="F28" s="803">
        <f t="shared" ref="F28:G28" si="24">F21</f>
        <v>157731.09599999999</v>
      </c>
      <c r="G28" s="803">
        <f t="shared" si="24"/>
        <v>174147.696</v>
      </c>
      <c r="H28" s="544">
        <f>AVERAGE(E28:G28)</f>
        <v>164421.47466666668</v>
      </c>
      <c r="I28" s="803">
        <f>I21</f>
        <v>166104.071</v>
      </c>
      <c r="J28" s="803">
        <f>J21</f>
        <v>159378.75099999999</v>
      </c>
      <c r="K28" s="803">
        <f>K21</f>
        <v>167120.046</v>
      </c>
      <c r="L28" s="499">
        <f>AVERAGE(I28:J28)</f>
        <v>162741.41099999999</v>
      </c>
      <c r="M28" s="803">
        <f>M21</f>
        <v>171739.93699999998</v>
      </c>
      <c r="N28" s="803">
        <f t="shared" ref="N28:O28" si="25">N21</f>
        <v>158897.242</v>
      </c>
      <c r="O28" s="803">
        <f t="shared" si="25"/>
        <v>169959.80600000001</v>
      </c>
      <c r="P28" s="544">
        <f>AVERAGE(M28:O28)</f>
        <v>166865.66166666665</v>
      </c>
      <c r="Q28" s="839">
        <f>Q21</f>
        <v>173552.51699999999</v>
      </c>
      <c r="R28" s="839">
        <f>R21</f>
        <v>170439.89099999997</v>
      </c>
      <c r="S28" s="839">
        <f>S21</f>
        <v>184255.34700000001</v>
      </c>
      <c r="T28" s="544">
        <f>AVERAGE(Q28:S28)</f>
        <v>176082.58499999996</v>
      </c>
      <c r="U28" s="852">
        <f>SUM(E28:G28,I28:K28,M28:O28,Q28:S28)</f>
        <v>2014712.0320000004</v>
      </c>
      <c r="V28" s="852">
        <f>AVERAGE(E28:G28,I28:K28,M28:O28,Q28:S28)</f>
        <v>167892.66933333335</v>
      </c>
    </row>
    <row r="29" spans="1:22" ht="30" customHeight="1" x14ac:dyDescent="0.25">
      <c r="A29" s="706"/>
      <c r="B29" s="707"/>
      <c r="C29" s="689" t="s">
        <v>20</v>
      </c>
      <c r="D29" s="690" t="s">
        <v>16</v>
      </c>
      <c r="E29" s="799">
        <f>E28/E7</f>
        <v>7685.0300952380958</v>
      </c>
      <c r="F29" s="799">
        <f t="shared" ref="F29:G29" si="26">F28/F7</f>
        <v>7886.5547999999999</v>
      </c>
      <c r="G29" s="799">
        <f t="shared" si="26"/>
        <v>7915.8043636363636</v>
      </c>
      <c r="H29" s="543">
        <f>SUM(E28:G28)/SUM(E7:G7)</f>
        <v>7829.5940317460318</v>
      </c>
      <c r="I29" s="799">
        <f>I28/I7</f>
        <v>7909.7176666666664</v>
      </c>
      <c r="J29" s="799">
        <f>J28/J7</f>
        <v>7968.9375499999996</v>
      </c>
      <c r="K29" s="799">
        <f>K28/K7</f>
        <v>7958.0974285714283</v>
      </c>
      <c r="L29" s="497">
        <f>SUM(I28:K28)/SUM(I7:K7)</f>
        <v>7945.2075483870967</v>
      </c>
      <c r="M29" s="799">
        <f>M28/M7</f>
        <v>7466.9537826086944</v>
      </c>
      <c r="N29" s="799">
        <f t="shared" ref="N29:O29" si="27">N28/N7</f>
        <v>7566.5353333333333</v>
      </c>
      <c r="O29" s="799">
        <f t="shared" si="27"/>
        <v>7725.4457272727277</v>
      </c>
      <c r="P29" s="543">
        <f>SUM(M28:O28)/SUM(M7:O7)</f>
        <v>7584.802803030303</v>
      </c>
      <c r="Q29" s="799">
        <f>Q28/Q7</f>
        <v>7888.7507727272723</v>
      </c>
      <c r="R29" s="799">
        <f>R28/R7</f>
        <v>8521.9945499999994</v>
      </c>
      <c r="S29" s="799">
        <f>S28/S7</f>
        <v>8375.2430454545465</v>
      </c>
      <c r="T29" s="543">
        <f>SUM(Q28:S28)/SUM(Q7:S7)</f>
        <v>8253.8711718749983</v>
      </c>
      <c r="U29" s="568" t="s">
        <v>11</v>
      </c>
      <c r="V29" s="569">
        <f>U28/U7</f>
        <v>7900.831498039217</v>
      </c>
    </row>
    <row r="30" spans="1:22" ht="30" customHeight="1" x14ac:dyDescent="0.25">
      <c r="A30" s="829"/>
      <c r="B30" s="829"/>
      <c r="C30" s="703" t="s">
        <v>22</v>
      </c>
      <c r="D30" s="828" t="s">
        <v>219</v>
      </c>
      <c r="E30" s="804">
        <f>E31/E28*1000</f>
        <v>2997.8969875087764</v>
      </c>
      <c r="F30" s="804">
        <f t="shared" ref="F30:G30" si="28">F31/F28*1000</f>
        <v>2847.9505905417664</v>
      </c>
      <c r="G30" s="804">
        <f t="shared" si="28"/>
        <v>2929.4288769278351</v>
      </c>
      <c r="H30" s="545">
        <f>SUM(E31:G31)/SUM(E28:G28)*1000</f>
        <v>2925.7758867135535</v>
      </c>
      <c r="I30" s="804">
        <f>I31/I28*1000</f>
        <v>2835.3423990383722</v>
      </c>
      <c r="J30" s="804">
        <f>J31/J28*1000</f>
        <v>2891.8732541999275</v>
      </c>
      <c r="K30" s="804">
        <f>K31/K28*1000</f>
        <v>2896.1363840876393</v>
      </c>
      <c r="L30" s="551">
        <f>SUM(I31:K31)/SUM(I28:K28)*1000</f>
        <v>2874.2575412591186</v>
      </c>
      <c r="M30" s="804">
        <f>M31/M28*1000</f>
        <v>2987.5350222533857</v>
      </c>
      <c r="N30" s="804">
        <f>N31/N28*1000</f>
        <v>3005.1736473059109</v>
      </c>
      <c r="O30" s="804">
        <f>O31/O28*1000</f>
        <v>2940.3574647363976</v>
      </c>
      <c r="P30" s="545">
        <f>SUM(M31:O31)/SUM(M28:O28)*1000</f>
        <v>2977.1163425451514</v>
      </c>
      <c r="Q30" s="840">
        <f>Q31/Q28*1000</f>
        <v>3002.9546104215824</v>
      </c>
      <c r="R30" s="840">
        <f>R31/R28*1000</f>
        <v>2976.6449174624859</v>
      </c>
      <c r="S30" s="840">
        <f>S31/S28*1000</f>
        <v>3136.9045451397405</v>
      </c>
      <c r="T30" s="545">
        <f>SUM(Q31:S31)/SUM(Q28:S28)*1000</f>
        <v>3041.1881292785242</v>
      </c>
      <c r="U30" s="830" t="s">
        <v>11</v>
      </c>
      <c r="V30" s="855">
        <f>U31/U28*1000</f>
        <v>2956.1966365444719</v>
      </c>
    </row>
    <row r="31" spans="1:22" ht="30" customHeight="1" x14ac:dyDescent="0.25">
      <c r="A31" s="706"/>
      <c r="B31" s="707"/>
      <c r="C31" s="687" t="s">
        <v>26</v>
      </c>
      <c r="D31" s="688" t="s">
        <v>9</v>
      </c>
      <c r="E31" s="798">
        <f>E15</f>
        <v>483817.5</v>
      </c>
      <c r="F31" s="798">
        <f t="shared" ref="F31:G31" si="29">F15</f>
        <v>449210.36800000002</v>
      </c>
      <c r="G31" s="798">
        <f t="shared" si="29"/>
        <v>510153.28951284999</v>
      </c>
      <c r="H31" s="542">
        <f>AVERAGE(E31:G31)</f>
        <v>481060.38583761669</v>
      </c>
      <c r="I31" s="798">
        <f>I15</f>
        <v>470961.91515918006</v>
      </c>
      <c r="J31" s="798">
        <f>J15</f>
        <v>460903.14730468998</v>
      </c>
      <c r="K31" s="798">
        <f>K15</f>
        <v>484002.44573099999</v>
      </c>
      <c r="L31" s="550">
        <f>AVERAGE(I31:K31)</f>
        <v>471955.83606495667</v>
      </c>
      <c r="M31" s="798">
        <f>M15</f>
        <v>513079.07650708995</v>
      </c>
      <c r="N31" s="798">
        <f t="shared" ref="N31:O31" si="30">N15</f>
        <v>477513.80428798997</v>
      </c>
      <c r="O31" s="798">
        <f t="shared" si="30"/>
        <v>499742.58427724999</v>
      </c>
      <c r="P31" s="542">
        <f>AVERAGE(M31:O31)</f>
        <v>496778.48835744336</v>
      </c>
      <c r="Q31" s="798">
        <f>Q15</f>
        <v>521170.33107542002</v>
      </c>
      <c r="R31" s="798">
        <f>R15</f>
        <v>507339.03527801001</v>
      </c>
      <c r="S31" s="798">
        <f>S15</f>
        <v>577991.43547060003</v>
      </c>
      <c r="T31" s="542">
        <f>AVERAGE(Q31:S31)</f>
        <v>535500.26727467671</v>
      </c>
      <c r="U31" s="567">
        <f>SUM(E31:G31,I31:K31,M31:O31,Q31:S31)</f>
        <v>5955884.9326040801</v>
      </c>
      <c r="V31" s="567">
        <f>AVERAGE(E31:G31,I31:K31,M31:O31,Q31:S31)</f>
        <v>496323.74438367336</v>
      </c>
    </row>
    <row r="32" spans="1:22" ht="30" customHeight="1" x14ac:dyDescent="0.25">
      <c r="A32" s="831"/>
      <c r="B32" s="831"/>
      <c r="C32" s="709" t="s">
        <v>20</v>
      </c>
      <c r="D32" s="832" t="s">
        <v>9</v>
      </c>
      <c r="E32" s="806">
        <f>E31/E7</f>
        <v>23038.928571428572</v>
      </c>
      <c r="F32" s="807">
        <f t="shared" ref="F32:G32" si="31">F31/F7</f>
        <v>22460.518400000001</v>
      </c>
      <c r="G32" s="807">
        <f t="shared" si="31"/>
        <v>23188.785886947728</v>
      </c>
      <c r="H32" s="772">
        <f>SUM(E31:G31)/SUM(E7:G7)</f>
        <v>22907.637420838892</v>
      </c>
      <c r="I32" s="807">
        <f>I31/I7</f>
        <v>22426.757864722858</v>
      </c>
      <c r="J32" s="807">
        <f>J31/J7</f>
        <v>23045.1573652345</v>
      </c>
      <c r="K32" s="807">
        <f>K31/K7</f>
        <v>23047.735510999999</v>
      </c>
      <c r="L32" s="773">
        <f>SUM(I31:K31)/SUM(I7:K7)</f>
        <v>22836.572712820485</v>
      </c>
      <c r="M32" s="807">
        <f>M31/M7</f>
        <v>22307.785935090866</v>
      </c>
      <c r="N32" s="807">
        <f>N31/N7</f>
        <v>22738.752585142378</v>
      </c>
      <c r="O32" s="807">
        <f>O31/O7</f>
        <v>22715.572012602272</v>
      </c>
      <c r="P32" s="772">
        <f>SUM(M31:O31)/SUM(M7:O7)</f>
        <v>22580.84037988379</v>
      </c>
      <c r="Q32" s="774">
        <f>Q31/Q7</f>
        <v>23689.560503428183</v>
      </c>
      <c r="R32" s="774">
        <f>R31/R7</f>
        <v>25366.951763900499</v>
      </c>
      <c r="S32" s="774">
        <f>S31/S7</f>
        <v>26272.337975936363</v>
      </c>
      <c r="T32" s="772">
        <f>SUM(Q31:S31)/SUM(Q7:S7)</f>
        <v>25101.575028500469</v>
      </c>
      <c r="U32" s="856" t="s">
        <v>11</v>
      </c>
      <c r="V32" s="857">
        <f>U31/U7</f>
        <v>23356.411500408158</v>
      </c>
    </row>
    <row r="33" spans="1:22" ht="17.5" x14ac:dyDescent="0.25">
      <c r="A33" s="970" t="s">
        <v>392</v>
      </c>
      <c r="B33" s="970"/>
      <c r="C33" s="970"/>
      <c r="D33" s="970"/>
      <c r="E33" s="970"/>
      <c r="F33" s="970"/>
      <c r="G33" s="833"/>
      <c r="H33" s="833"/>
      <c r="I33" s="833"/>
      <c r="J33" s="833"/>
      <c r="K33" s="833"/>
      <c r="L33" s="833"/>
      <c r="M33" s="834"/>
      <c r="N33" s="834"/>
      <c r="O33" s="834"/>
      <c r="P33" s="834" t="s">
        <v>420</v>
      </c>
      <c r="Q33" s="834"/>
      <c r="R33" s="842"/>
      <c r="S33" s="842"/>
      <c r="T33" s="842"/>
      <c r="U33" s="843"/>
      <c r="V33" s="844"/>
    </row>
    <row r="37" spans="1:22" x14ac:dyDescent="0.25">
      <c r="E37" s="817"/>
    </row>
  </sheetData>
  <mergeCells count="8">
    <mergeCell ref="B13:B14"/>
    <mergeCell ref="A33:F33"/>
    <mergeCell ref="A3:V3"/>
    <mergeCell ref="A4:V4"/>
    <mergeCell ref="B5:C6"/>
    <mergeCell ref="B7:C7"/>
    <mergeCell ref="B8:C8"/>
    <mergeCell ref="B11:B12"/>
  </mergeCells>
  <pageMargins left="0.7" right="0.7" top="0.75" bottom="0.75" header="0.3" footer="0.3"/>
  <pageSetup paperSize="9" orientation="portrait" r:id="rId1"/>
  <ignoredErrors>
    <ignoredError sqref="H10:H32 L10:L32 P10:P32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2057"/>
  <sheetViews>
    <sheetView view="pageBreakPreview" topLeftCell="A5" zoomScale="70" zoomScaleNormal="60" zoomScaleSheetLayoutView="70" workbookViewId="0">
      <pane xSplit="4" ySplit="2" topLeftCell="E7" activePane="bottomRight" state="frozen"/>
      <selection activeCell="C34" sqref="C34"/>
      <selection pane="topRight" activeCell="C34" sqref="C34"/>
      <selection pane="bottomLeft" activeCell="C34" sqref="C34"/>
      <selection pane="bottomRight" activeCell="F12" sqref="F12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0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6.699218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  <c r="K2" s="588"/>
    </row>
    <row r="3" spans="1:24" ht="19.5" customHeight="1" x14ac:dyDescent="0.4">
      <c r="A3" s="958" t="s">
        <v>42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</row>
    <row r="4" spans="1:24" s="134" customFormat="1" ht="24" customHeight="1" x14ac:dyDescent="0.25">
      <c r="A4" s="959" t="s">
        <v>370</v>
      </c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</row>
    <row r="5" spans="1:24" ht="42" customHeight="1" thickBot="1" x14ac:dyDescent="0.45">
      <c r="A5" s="662" t="s">
        <v>1</v>
      </c>
      <c r="B5" s="973" t="s">
        <v>2</v>
      </c>
      <c r="C5" s="974"/>
      <c r="D5" s="665" t="s">
        <v>3</v>
      </c>
      <c r="E5" s="666" t="s">
        <v>371</v>
      </c>
      <c r="F5" s="666" t="s">
        <v>372</v>
      </c>
      <c r="G5" s="666" t="s">
        <v>373</v>
      </c>
      <c r="H5" s="666" t="s">
        <v>374</v>
      </c>
      <c r="I5" s="666" t="s">
        <v>375</v>
      </c>
      <c r="J5" s="666" t="s">
        <v>376</v>
      </c>
      <c r="K5" s="666" t="s">
        <v>377</v>
      </c>
      <c r="L5" s="666" t="s">
        <v>378</v>
      </c>
      <c r="M5" s="666" t="s">
        <v>379</v>
      </c>
      <c r="N5" s="666" t="s">
        <v>380</v>
      </c>
      <c r="O5" s="666" t="s">
        <v>381</v>
      </c>
      <c r="P5" s="666" t="s">
        <v>382</v>
      </c>
      <c r="Q5" s="666" t="s">
        <v>383</v>
      </c>
      <c r="R5" s="666" t="s">
        <v>384</v>
      </c>
      <c r="S5" s="666" t="s">
        <v>385</v>
      </c>
      <c r="T5" s="666" t="s">
        <v>386</v>
      </c>
      <c r="U5" s="667" t="s">
        <v>46</v>
      </c>
      <c r="V5" s="668" t="s">
        <v>58</v>
      </c>
      <c r="W5" s="233"/>
      <c r="X5" s="233"/>
    </row>
    <row r="6" spans="1:24" ht="44.25" customHeight="1" thickTop="1" x14ac:dyDescent="0.35">
      <c r="A6" s="663"/>
      <c r="B6" s="975"/>
      <c r="C6" s="976"/>
      <c r="D6" s="590" t="s">
        <v>4</v>
      </c>
      <c r="E6" s="583"/>
      <c r="F6" s="583"/>
      <c r="G6" s="583"/>
      <c r="H6" s="584" t="s">
        <v>45</v>
      </c>
      <c r="I6" s="585"/>
      <c r="J6" s="585"/>
      <c r="K6" s="585"/>
      <c r="L6" s="584" t="s">
        <v>45</v>
      </c>
      <c r="M6" s="585"/>
      <c r="N6" s="585"/>
      <c r="O6" s="585"/>
      <c r="P6" s="584" t="s">
        <v>45</v>
      </c>
      <c r="Q6" s="585"/>
      <c r="R6" s="585"/>
      <c r="S6" s="585"/>
      <c r="T6" s="584" t="s">
        <v>45</v>
      </c>
      <c r="U6" s="586" t="s">
        <v>53</v>
      </c>
      <c r="V6" s="587" t="s">
        <v>53</v>
      </c>
      <c r="W6" s="233"/>
      <c r="X6" s="233"/>
    </row>
    <row r="7" spans="1:24" ht="30" customHeight="1" x14ac:dyDescent="0.25">
      <c r="A7" s="671" t="s">
        <v>5</v>
      </c>
      <c r="B7" s="977" t="s">
        <v>6</v>
      </c>
      <c r="C7" s="977"/>
      <c r="D7" s="672"/>
      <c r="E7" s="326">
        <v>22</v>
      </c>
      <c r="F7" s="326">
        <v>20</v>
      </c>
      <c r="G7" s="326">
        <v>22</v>
      </c>
      <c r="H7" s="536">
        <f t="shared" ref="H7:H15" si="0">AVERAGE(E7:G7)</f>
        <v>21.333333333333332</v>
      </c>
      <c r="I7" s="326">
        <v>21</v>
      </c>
      <c r="J7" s="326">
        <v>21</v>
      </c>
      <c r="K7" s="326">
        <v>19</v>
      </c>
      <c r="L7" s="548">
        <f>AVERAGE(I7:K7)</f>
        <v>20.333333333333332</v>
      </c>
      <c r="M7" s="326">
        <v>23</v>
      </c>
      <c r="N7" s="326">
        <v>21</v>
      </c>
      <c r="O7" s="326">
        <v>21</v>
      </c>
      <c r="P7" s="536">
        <f>AVERAGE(M7:O7)</f>
        <v>21.666666666666668</v>
      </c>
      <c r="Q7" s="502">
        <v>23</v>
      </c>
      <c r="R7" s="502">
        <v>19</v>
      </c>
      <c r="S7" s="502">
        <v>20</v>
      </c>
      <c r="T7" s="536">
        <f>AVERAGE(Q7:S7)</f>
        <v>20.666666666666668</v>
      </c>
      <c r="U7" s="553">
        <f>SUM(E7:G7,I7:K7,M7:O7,Q7:S7)</f>
        <v>252</v>
      </c>
      <c r="V7" s="554">
        <f>AVERAGE(E7:G7,I7:K7,M7:O7,Q7:S7)</f>
        <v>21</v>
      </c>
      <c r="W7" s="233"/>
      <c r="X7" s="233"/>
    </row>
    <row r="8" spans="1:24" ht="30" customHeight="1" x14ac:dyDescent="0.25">
      <c r="A8" s="673" t="s">
        <v>7</v>
      </c>
      <c r="B8" s="978" t="s">
        <v>40</v>
      </c>
      <c r="C8" s="978"/>
      <c r="D8" s="674"/>
      <c r="E8" s="504">
        <v>40</v>
      </c>
      <c r="F8" s="504">
        <v>40</v>
      </c>
      <c r="G8" s="504">
        <v>40</v>
      </c>
      <c r="H8" s="537">
        <f t="shared" si="0"/>
        <v>40</v>
      </c>
      <c r="I8" s="504">
        <v>40</v>
      </c>
      <c r="J8" s="504">
        <v>40</v>
      </c>
      <c r="K8" s="504">
        <v>40</v>
      </c>
      <c r="L8" s="549">
        <f>AVERAGE(I8:K8)</f>
        <v>40</v>
      </c>
      <c r="M8" s="504">
        <v>40</v>
      </c>
      <c r="N8" s="504">
        <v>40</v>
      </c>
      <c r="O8" s="504">
        <v>40</v>
      </c>
      <c r="P8" s="537">
        <f>AVERAGE(M8:O8)</f>
        <v>40</v>
      </c>
      <c r="Q8" s="505">
        <v>39</v>
      </c>
      <c r="R8" s="505">
        <v>39</v>
      </c>
      <c r="S8" s="505">
        <v>39</v>
      </c>
      <c r="T8" s="537">
        <f>AVERAGE(Q8:S8)</f>
        <v>39</v>
      </c>
      <c r="U8" s="555" t="s">
        <v>11</v>
      </c>
      <c r="V8" s="556">
        <f>AVERAGE(E8:G8,I8:K8,M8:O8,Q8:S8)</f>
        <v>39.75</v>
      </c>
      <c r="W8" s="233"/>
      <c r="X8" s="233"/>
    </row>
    <row r="9" spans="1:24" ht="33.75" customHeight="1" x14ac:dyDescent="0.35">
      <c r="A9" s="671" t="s">
        <v>12</v>
      </c>
      <c r="B9" s="675" t="s">
        <v>27</v>
      </c>
      <c r="C9" s="676" t="s">
        <v>181</v>
      </c>
      <c r="D9" s="677" t="s">
        <v>9</v>
      </c>
      <c r="E9" s="444">
        <v>201550.61300000001</v>
      </c>
      <c r="F9" s="444">
        <v>185356.761</v>
      </c>
      <c r="G9" s="444">
        <v>202077.829</v>
      </c>
      <c r="H9" s="538">
        <f t="shared" si="0"/>
        <v>196328.40099999998</v>
      </c>
      <c r="I9" s="444">
        <v>220576.867</v>
      </c>
      <c r="J9" s="444">
        <v>213160.23800000001</v>
      </c>
      <c r="K9" s="444">
        <v>199067.73199999999</v>
      </c>
      <c r="L9" s="493">
        <f>AVERAGE(I9:K9)</f>
        <v>210934.94566666664</v>
      </c>
      <c r="M9" s="669">
        <v>228344.95395061001</v>
      </c>
      <c r="N9" s="444">
        <v>209378.83769710999</v>
      </c>
      <c r="O9" s="670">
        <v>207071.75009183001</v>
      </c>
      <c r="P9" s="538">
        <f>AVERAGE(M9:O9)</f>
        <v>214931.8472465167</v>
      </c>
      <c r="Q9" s="508">
        <v>228452.56</v>
      </c>
      <c r="R9" s="508">
        <v>212225.658</v>
      </c>
      <c r="S9" s="508">
        <v>244886.35399999999</v>
      </c>
      <c r="T9" s="538">
        <f>AVERAGE(Q9:S9)</f>
        <v>228521.52399999998</v>
      </c>
      <c r="U9" s="557">
        <f>SUM(E9:G9,I9:K9,M9:O9,Q9:S9)</f>
        <v>2552150.1537395497</v>
      </c>
      <c r="V9" s="558">
        <f>AVERAGE(E9:G9,I9:K9,M9:O9,Q9:S9)</f>
        <v>212679.17947829582</v>
      </c>
      <c r="W9" s="317"/>
      <c r="X9" s="233"/>
    </row>
    <row r="10" spans="1:24" ht="30" customHeight="1" x14ac:dyDescent="0.35">
      <c r="A10" s="671"/>
      <c r="B10" s="678" t="s">
        <v>28</v>
      </c>
      <c r="C10" s="679" t="s">
        <v>10</v>
      </c>
      <c r="D10" s="680"/>
      <c r="E10" s="512">
        <f>E9/E15</f>
        <v>0.44647825272296193</v>
      </c>
      <c r="F10" s="512">
        <f t="shared" ref="F10:G10" si="1">F9/F15</f>
        <v>0.44641742563551245</v>
      </c>
      <c r="G10" s="512">
        <f t="shared" si="1"/>
        <v>0.44691168357237154</v>
      </c>
      <c r="H10" s="539">
        <f t="shared" si="0"/>
        <v>0.44660245397694864</v>
      </c>
      <c r="I10" s="513">
        <f>I9/I15</f>
        <v>0.44740527965281868</v>
      </c>
      <c r="J10" s="513">
        <f>J9/J15</f>
        <v>0.45754628401976566</v>
      </c>
      <c r="K10" s="513">
        <f>K9/K15</f>
        <v>0.45498872375299182</v>
      </c>
      <c r="L10" s="492">
        <f>SUM(I9:K9)/SUM(I15:K15)</f>
        <v>0.45316459800208275</v>
      </c>
      <c r="M10" s="513">
        <f>M9/M15</f>
        <v>0.45326940081999845</v>
      </c>
      <c r="N10" s="513">
        <f>N9/N15</f>
        <v>0.45303700342516856</v>
      </c>
      <c r="O10" s="513">
        <f>O9/O15</f>
        <v>0.44836450193167465</v>
      </c>
      <c r="P10" s="539">
        <f>SUM(M9:O9)/SUM(M15:O15)</f>
        <v>0.45160760572633452</v>
      </c>
      <c r="Q10" s="513">
        <f>Q9/Q15</f>
        <v>0.44333403391422144</v>
      </c>
      <c r="R10" s="513">
        <f>R9/R15</f>
        <v>0.4497356074599167</v>
      </c>
      <c r="S10" s="513">
        <f>S9/S15</f>
        <v>0.46735980579680941</v>
      </c>
      <c r="T10" s="539">
        <f>SUM(Q9:S9)/SUM(Q15:S15)</f>
        <v>0.45366363259507864</v>
      </c>
      <c r="U10" s="559" t="s">
        <v>11</v>
      </c>
      <c r="V10" s="560">
        <f>U9/U15</f>
        <v>0.45137545202855134</v>
      </c>
      <c r="W10" s="448"/>
      <c r="X10" s="402"/>
    </row>
    <row r="11" spans="1:24" ht="33" customHeight="1" x14ac:dyDescent="0.35">
      <c r="A11" s="673"/>
      <c r="B11" s="979" t="s">
        <v>29</v>
      </c>
      <c r="C11" s="681" t="s">
        <v>181</v>
      </c>
      <c r="D11" s="682" t="s">
        <v>9</v>
      </c>
      <c r="E11" s="495">
        <v>152230.62</v>
      </c>
      <c r="F11" s="495">
        <v>142476.26999999999</v>
      </c>
      <c r="G11" s="495">
        <v>154147.07</v>
      </c>
      <c r="H11" s="540">
        <f t="shared" si="0"/>
        <v>149617.98666666666</v>
      </c>
      <c r="I11" s="495">
        <v>170050.03899999999</v>
      </c>
      <c r="J11" s="495">
        <v>156582.745</v>
      </c>
      <c r="K11" s="495">
        <v>146275.63699999999</v>
      </c>
      <c r="L11" s="494">
        <f>AVERAGE(I11:K11)</f>
        <v>157636.14033333331</v>
      </c>
      <c r="M11" s="600">
        <v>169522.12957563999</v>
      </c>
      <c r="N11" s="516">
        <v>157506.90218388999</v>
      </c>
      <c r="O11" s="516">
        <v>157607.01108612999</v>
      </c>
      <c r="P11" s="540">
        <f>AVERAGE(M11:O11)</f>
        <v>161545.34761521997</v>
      </c>
      <c r="Q11" s="495">
        <v>179764.26199999999</v>
      </c>
      <c r="R11" s="495">
        <v>160253.63800000001</v>
      </c>
      <c r="S11" s="495">
        <v>174485.27</v>
      </c>
      <c r="T11" s="540">
        <f>AVERAGE(Q11:S11)</f>
        <v>171501.05666666667</v>
      </c>
      <c r="U11" s="561">
        <f>SUM(E11:G11,I11:K11,M11:O11,Q11:S11)</f>
        <v>1920901.5938456601</v>
      </c>
      <c r="V11" s="562">
        <f>AVERAGE(E11:G11,I11:K11,M11:O11,Q11:S11)</f>
        <v>160075.13282047168</v>
      </c>
      <c r="W11" s="402"/>
      <c r="X11" s="233"/>
    </row>
    <row r="12" spans="1:24" ht="30" customHeight="1" x14ac:dyDescent="0.25">
      <c r="A12" s="673"/>
      <c r="B12" s="979"/>
      <c r="C12" s="683" t="s">
        <v>10</v>
      </c>
      <c r="D12" s="684"/>
      <c r="E12" s="790">
        <f>E11/E15</f>
        <v>0.33722378819325732</v>
      </c>
      <c r="F12" s="790">
        <f t="shared" ref="F12:G12" si="2">F11/F15</f>
        <v>0.34314307891660983</v>
      </c>
      <c r="G12" s="790">
        <f t="shared" si="2"/>
        <v>0.34090888106011974</v>
      </c>
      <c r="H12" s="541">
        <f t="shared" si="0"/>
        <v>0.34042524938999569</v>
      </c>
      <c r="I12" s="519">
        <f>I11/I15</f>
        <v>0.34491960235235236</v>
      </c>
      <c r="J12" s="519">
        <f>J11/J15</f>
        <v>0.33610327042496796</v>
      </c>
      <c r="K12" s="519">
        <f>K11/K15</f>
        <v>0.33432723991041358</v>
      </c>
      <c r="L12" s="491">
        <f>SUM(I11:K11)/SUM(I15:K15)</f>
        <v>0.33865947597721147</v>
      </c>
      <c r="M12" s="597">
        <f>M11/M15</f>
        <v>0.33650489213394419</v>
      </c>
      <c r="N12" s="519">
        <f t="shared" ref="N12:O12" si="3">N11/N15</f>
        <v>0.34080070253993761</v>
      </c>
      <c r="O12" s="519">
        <f t="shared" si="3"/>
        <v>0.34126040367763666</v>
      </c>
      <c r="P12" s="541">
        <f>SUM(M11:O11)/SUM(M15:O15)</f>
        <v>0.33943367903529831</v>
      </c>
      <c r="Q12" s="519">
        <f>Q11/Q15</f>
        <v>0.34884973679468939</v>
      </c>
      <c r="R12" s="519">
        <f>R11/R15</f>
        <v>0.33959968795852002</v>
      </c>
      <c r="S12" s="519">
        <f>S11/S15</f>
        <v>0.33300100462765619</v>
      </c>
      <c r="T12" s="541">
        <f>SUM(Q11:S11)/SUM(Q15:S15)</f>
        <v>0.34046592635752965</v>
      </c>
      <c r="U12" s="563" t="s">
        <v>11</v>
      </c>
      <c r="V12" s="564">
        <f>U11/U15</f>
        <v>0.33973229355412482</v>
      </c>
      <c r="W12" s="402"/>
      <c r="X12" s="233"/>
    </row>
    <row r="13" spans="1:24" ht="33" customHeight="1" x14ac:dyDescent="0.35">
      <c r="A13" s="671"/>
      <c r="B13" s="969" t="s">
        <v>30</v>
      </c>
      <c r="C13" s="676" t="s">
        <v>181</v>
      </c>
      <c r="D13" s="677" t="s">
        <v>9</v>
      </c>
      <c r="E13" s="444">
        <v>96122.438999999998</v>
      </c>
      <c r="F13" s="444">
        <v>85991.129000000001</v>
      </c>
      <c r="G13" s="444">
        <v>94369.455000000002</v>
      </c>
      <c r="H13" s="538">
        <f t="shared" si="0"/>
        <v>92161.007666666657</v>
      </c>
      <c r="I13" s="444">
        <v>100653.268</v>
      </c>
      <c r="J13" s="444">
        <v>94399.573999999993</v>
      </c>
      <c r="K13" s="444">
        <v>90486.02</v>
      </c>
      <c r="L13" s="493">
        <f>AVERAGE(I13:K13)</f>
        <v>95179.620666666669</v>
      </c>
      <c r="M13" s="669">
        <v>103961.18448965999</v>
      </c>
      <c r="N13" s="200">
        <v>93523.604868230002</v>
      </c>
      <c r="O13" s="200">
        <v>95456.775957770005</v>
      </c>
      <c r="P13" s="538">
        <f>AVERAGE(M13:O13)</f>
        <v>97647.188438553319</v>
      </c>
      <c r="Q13" s="508">
        <v>105356.91</v>
      </c>
      <c r="R13" s="508">
        <v>97910.861000000004</v>
      </c>
      <c r="S13" s="508">
        <v>103047.118</v>
      </c>
      <c r="T13" s="538">
        <f>AVERAGE(Q13:S13)</f>
        <v>102104.963</v>
      </c>
      <c r="U13" s="557">
        <f>SUM(E13:G13,I13:K13,M13:O13,Q13:S13)</f>
        <v>1161278.3393156598</v>
      </c>
      <c r="V13" s="558">
        <f>AVERAGE(E13:G13,I13:K13,M13:O13,Q13:S13)</f>
        <v>96773.194942971648</v>
      </c>
      <c r="W13" s="402"/>
      <c r="X13" s="233"/>
    </row>
    <row r="14" spans="1:24" ht="30" customHeight="1" x14ac:dyDescent="0.25">
      <c r="A14" s="671"/>
      <c r="B14" s="969"/>
      <c r="C14" s="685" t="s">
        <v>10</v>
      </c>
      <c r="D14" s="686"/>
      <c r="E14" s="512">
        <f>E13/E15</f>
        <v>0.21293201729031452</v>
      </c>
      <c r="F14" s="512">
        <f t="shared" ref="F14:G14" si="4">F13/F15</f>
        <v>0.20710298469054098</v>
      </c>
      <c r="G14" s="512">
        <f t="shared" si="4"/>
        <v>0.20870578539250417</v>
      </c>
      <c r="H14" s="539">
        <f t="shared" si="0"/>
        <v>0.20958026245778658</v>
      </c>
      <c r="I14" s="521">
        <f>I13/I15</f>
        <v>0.20415923088394444</v>
      </c>
      <c r="J14" s="521">
        <f>J13/J15</f>
        <v>0.20262772598681786</v>
      </c>
      <c r="K14" s="521">
        <f>K13/K15</f>
        <v>0.20681462708023265</v>
      </c>
      <c r="L14" s="492">
        <f>SUM(I13:K13)/SUM(I15:K15)</f>
        <v>0.20448026950243145</v>
      </c>
      <c r="M14" s="521">
        <f>M13/M15</f>
        <v>0.20636507611356225</v>
      </c>
      <c r="N14" s="521">
        <f t="shared" ref="N14:O14" si="5">N13/N15</f>
        <v>0.20235881603428751</v>
      </c>
      <c r="O14" s="521">
        <f t="shared" si="5"/>
        <v>0.20668888822028483</v>
      </c>
      <c r="P14" s="539">
        <f>SUM(M13:O13)/SUM(M15:O15)</f>
        <v>0.20517300503198443</v>
      </c>
      <c r="Q14" s="513">
        <f>Q13/Q15</f>
        <v>0.20445515651493498</v>
      </c>
      <c r="R14" s="513">
        <f>R13/R15</f>
        <v>0.20748669582995696</v>
      </c>
      <c r="S14" s="513">
        <f>S13/S15</f>
        <v>0.19666298374633362</v>
      </c>
      <c r="T14" s="539">
        <f>SUM(Q13:S13)/SUM(Q15:S15)</f>
        <v>0.20269998033343287</v>
      </c>
      <c r="U14" s="565" t="s">
        <v>11</v>
      </c>
      <c r="V14" s="566">
        <f>U13/U15</f>
        <v>0.20538467714038108</v>
      </c>
      <c r="W14" s="233"/>
      <c r="X14" s="233"/>
    </row>
    <row r="15" spans="1:24" ht="33" customHeight="1" x14ac:dyDescent="0.25">
      <c r="A15" s="673" t="s">
        <v>17</v>
      </c>
      <c r="B15" s="687" t="s">
        <v>13</v>
      </c>
      <c r="C15" s="687" t="s">
        <v>8</v>
      </c>
      <c r="D15" s="688" t="s">
        <v>9</v>
      </c>
      <c r="E15" s="524">
        <f>E17+E19</f>
        <v>451423.136</v>
      </c>
      <c r="F15" s="524">
        <f t="shared" ref="F15:G15" si="6">F17+F19</f>
        <v>415209.511</v>
      </c>
      <c r="G15" s="524">
        <f t="shared" si="6"/>
        <v>452165.01699999999</v>
      </c>
      <c r="H15" s="542">
        <f t="shared" si="0"/>
        <v>439599.22133333329</v>
      </c>
      <c r="I15" s="524">
        <f>I17+I19</f>
        <v>493013.55399999995</v>
      </c>
      <c r="J15" s="524">
        <f>J17+J19</f>
        <v>465876.88600000006</v>
      </c>
      <c r="K15" s="524">
        <f>K17+K19</f>
        <v>437522.34199999995</v>
      </c>
      <c r="L15" s="550">
        <f>AVERAGE(I15:K15)</f>
        <v>465470.9273333333</v>
      </c>
      <c r="M15" s="524">
        <f>M17+M19</f>
        <v>503773.15022261994</v>
      </c>
      <c r="N15" s="524">
        <f t="shared" ref="N15:O15" si="7">N17+N19</f>
        <v>462167.18747941003</v>
      </c>
      <c r="O15" s="524">
        <f t="shared" si="7"/>
        <v>461837.96709977998</v>
      </c>
      <c r="P15" s="542">
        <f>AVERAGE(M15:O15)</f>
        <v>475926.10160060338</v>
      </c>
      <c r="Q15" s="524">
        <f>Q17+Q19</f>
        <v>515305.71199999994</v>
      </c>
      <c r="R15" s="524">
        <f>R17+R19</f>
        <v>471889.82699999999</v>
      </c>
      <c r="S15" s="524">
        <f>S17+S19</f>
        <v>523978.20899999997</v>
      </c>
      <c r="T15" s="542">
        <f>AVERAGE(Q15:S15)</f>
        <v>503724.58266666665</v>
      </c>
      <c r="U15" s="567">
        <f>SUM(E15:G15,I15:K15,M15:O15,Q15:S15)</f>
        <v>5654162.4988018088</v>
      </c>
      <c r="V15" s="567">
        <f>AVERAGE(E15:G15,I15:K15,M15:O15,Q15:S15)</f>
        <v>471180.20823348407</v>
      </c>
      <c r="W15" s="317"/>
      <c r="X15" s="233"/>
    </row>
    <row r="16" spans="1:24" ht="30" customHeight="1" x14ac:dyDescent="0.25">
      <c r="A16" s="673"/>
      <c r="B16" s="689" t="s">
        <v>14</v>
      </c>
      <c r="C16" s="689" t="s">
        <v>15</v>
      </c>
      <c r="D16" s="690" t="s">
        <v>9</v>
      </c>
      <c r="E16" s="496">
        <f>E15/E7</f>
        <v>20519.233454545454</v>
      </c>
      <c r="F16" s="496">
        <f t="shared" ref="F16:G16" si="8">F15/F7</f>
        <v>20760.475549999999</v>
      </c>
      <c r="G16" s="496">
        <f t="shared" si="8"/>
        <v>20552.955318181819</v>
      </c>
      <c r="H16" s="543">
        <f>SUM(E15:G15)/SUM(E7:G7)</f>
        <v>20606.213499999998</v>
      </c>
      <c r="I16" s="496">
        <f>I15/I7</f>
        <v>23476.835904761901</v>
      </c>
      <c r="J16" s="496">
        <f>J15/J7</f>
        <v>22184.613619047621</v>
      </c>
      <c r="K16" s="496">
        <f>K15/K7</f>
        <v>23027.491684210523</v>
      </c>
      <c r="L16" s="497">
        <f>SUM(I15:K15)/SUM(I7:K7)</f>
        <v>22892.012819672131</v>
      </c>
      <c r="M16" s="496">
        <f>M15/M7</f>
        <v>21903.180444461737</v>
      </c>
      <c r="N16" s="496">
        <f t="shared" ref="N16:O16" si="9">N15/N7</f>
        <v>22007.961308543334</v>
      </c>
      <c r="O16" s="496">
        <f t="shared" si="9"/>
        <v>21992.28414760857</v>
      </c>
      <c r="P16" s="543">
        <f>SUM(M15:O15)/SUM(M7:O7)</f>
        <v>21965.820073874002</v>
      </c>
      <c r="Q16" s="496">
        <f>Q15/Q7</f>
        <v>22404.59617391304</v>
      </c>
      <c r="R16" s="496">
        <f>R15/R7</f>
        <v>24836.306684210525</v>
      </c>
      <c r="S16" s="496">
        <f>S15/S7</f>
        <v>26198.910449999999</v>
      </c>
      <c r="T16" s="543">
        <f>SUM(Q15:S15)/SUM(Q7:S7)</f>
        <v>24373.770129032255</v>
      </c>
      <c r="U16" s="568" t="s">
        <v>11</v>
      </c>
      <c r="V16" s="569">
        <f>U15/U7</f>
        <v>22437.152773023052</v>
      </c>
      <c r="W16" s="233"/>
      <c r="X16" s="233"/>
    </row>
    <row r="17" spans="1:24" s="27" customFormat="1" ht="33" customHeight="1" x14ac:dyDescent="0.35">
      <c r="A17" s="691"/>
      <c r="B17" s="692" t="s">
        <v>36</v>
      </c>
      <c r="C17" s="676" t="s">
        <v>8</v>
      </c>
      <c r="D17" s="677" t="s">
        <v>9</v>
      </c>
      <c r="E17" s="200">
        <f>E9+E11+E13</f>
        <v>449903.67200000002</v>
      </c>
      <c r="F17" s="200">
        <f t="shared" ref="F17:G17" si="10">F9+F11+F13</f>
        <v>413824.16</v>
      </c>
      <c r="G17" s="200">
        <f t="shared" si="10"/>
        <v>450594.35399999999</v>
      </c>
      <c r="H17" s="538">
        <f>AVERAGE(E17:G17)</f>
        <v>438107.39533333335</v>
      </c>
      <c r="I17" s="200">
        <f>I9+I11+I13</f>
        <v>491280.17399999994</v>
      </c>
      <c r="J17" s="200">
        <f>J9+J11+J13</f>
        <v>464142.55700000003</v>
      </c>
      <c r="K17" s="200">
        <f>K9+K11+K13</f>
        <v>435829.38899999997</v>
      </c>
      <c r="L17" s="493">
        <f>AVERAGE(I17:K17)</f>
        <v>463750.70666666661</v>
      </c>
      <c r="M17" s="200">
        <f>M9+M11+M13</f>
        <v>501828.26801590994</v>
      </c>
      <c r="N17" s="200">
        <f t="shared" ref="N17:O17" si="11">N9+N11+N13</f>
        <v>460409.34474923002</v>
      </c>
      <c r="O17" s="200">
        <f t="shared" si="11"/>
        <v>460135.53713572997</v>
      </c>
      <c r="P17" s="538">
        <f>AVERAGE(M17:O17)</f>
        <v>474124.38330028998</v>
      </c>
      <c r="Q17" s="200">
        <f>Q9+Q11+Q13</f>
        <v>513573.73199999996</v>
      </c>
      <c r="R17" s="200">
        <f t="shared" ref="R17:S17" si="12">R9+R11+R13</f>
        <v>470390.15700000001</v>
      </c>
      <c r="S17" s="200">
        <f t="shared" si="12"/>
        <v>522418.74199999997</v>
      </c>
      <c r="T17" s="538">
        <f>AVERAGE(Q17:S17)</f>
        <v>502127.54366666666</v>
      </c>
      <c r="U17" s="558">
        <f>SUM(E17:G17,I17:K17,M17:O17,Q17:S17)</f>
        <v>5634330.0869008694</v>
      </c>
      <c r="V17" s="558">
        <f>AVERAGE(E17:G17,I17:K17,M17:O17,Q18,Q18,Q17,Q17:S17)</f>
        <v>409860.38747858157</v>
      </c>
      <c r="W17" s="234"/>
      <c r="X17" s="234"/>
    </row>
    <row r="18" spans="1:24" s="25" customFormat="1" ht="30" customHeight="1" x14ac:dyDescent="0.25">
      <c r="A18" s="693"/>
      <c r="B18" s="694" t="s">
        <v>32</v>
      </c>
      <c r="C18" s="695" t="s">
        <v>10</v>
      </c>
      <c r="D18" s="686"/>
      <c r="E18" s="521">
        <f>E17/E15</f>
        <v>0.99663405820653383</v>
      </c>
      <c r="F18" s="521">
        <f t="shared" ref="F18:G18" si="13">F17/F15</f>
        <v>0.99666348924266324</v>
      </c>
      <c r="G18" s="521">
        <f t="shared" si="13"/>
        <v>0.99652635002499546</v>
      </c>
      <c r="H18" s="539">
        <f>AVERAGE(E18:G18)</f>
        <v>0.99660796582473088</v>
      </c>
      <c r="I18" s="521">
        <f>I17/I15</f>
        <v>0.99648411288911543</v>
      </c>
      <c r="J18" s="521">
        <f>J17/J15</f>
        <v>0.9962772804315515</v>
      </c>
      <c r="K18" s="521">
        <f>K17/K15</f>
        <v>0.99613059074363797</v>
      </c>
      <c r="L18" s="492">
        <f>SUM(I17:K17)/SUM(I15:K15)</f>
        <v>0.99630434348172559</v>
      </c>
      <c r="M18" s="521">
        <f>M17/M15</f>
        <v>0.99613936906750478</v>
      </c>
      <c r="N18" s="521">
        <f t="shared" ref="N18:O18" si="14">N17/N15</f>
        <v>0.99619652199939368</v>
      </c>
      <c r="O18" s="521">
        <f t="shared" si="14"/>
        <v>0.99631379382959606</v>
      </c>
      <c r="P18" s="539">
        <f>SUM(M17:O17)/SUM(M15:O15)</f>
        <v>0.99621428979361726</v>
      </c>
      <c r="Q18" s="513">
        <f>Q17/Q15</f>
        <v>0.99663892722384573</v>
      </c>
      <c r="R18" s="513">
        <f>R17/R15</f>
        <v>0.99682199124839366</v>
      </c>
      <c r="S18" s="513">
        <f>S17/S15</f>
        <v>0.99702379417079923</v>
      </c>
      <c r="T18" s="539">
        <f>SUM(Q17:S17)/SUM(Q15:S15)</f>
        <v>0.99682953928604123</v>
      </c>
      <c r="U18" s="565" t="s">
        <v>11</v>
      </c>
      <c r="V18" s="566">
        <f>U17/U15</f>
        <v>0.99649242272305716</v>
      </c>
      <c r="W18" s="235"/>
      <c r="X18" s="235"/>
    </row>
    <row r="19" spans="1:24" s="27" customFormat="1" ht="33" customHeight="1" x14ac:dyDescent="0.35">
      <c r="A19" s="696"/>
      <c r="B19" s="697" t="s">
        <v>36</v>
      </c>
      <c r="C19" s="681" t="s">
        <v>8</v>
      </c>
      <c r="D19" s="682" t="s">
        <v>9</v>
      </c>
      <c r="E19" s="495">
        <v>1519.4639999999999</v>
      </c>
      <c r="F19" s="495">
        <v>1385.3510000000001</v>
      </c>
      <c r="G19" s="495">
        <v>1570.663</v>
      </c>
      <c r="H19" s="540">
        <f>AVERAGE(E19:G19)</f>
        <v>1491.826</v>
      </c>
      <c r="I19" s="495">
        <v>1733.38</v>
      </c>
      <c r="J19" s="495">
        <v>1734.329</v>
      </c>
      <c r="K19" s="495">
        <v>1692.953</v>
      </c>
      <c r="L19" s="494">
        <f>AVERAGE(I19:K19)</f>
        <v>1720.2206666666668</v>
      </c>
      <c r="M19" s="600">
        <v>1944.8822067100002</v>
      </c>
      <c r="N19" s="516">
        <v>1757.84273018</v>
      </c>
      <c r="O19" s="516">
        <v>1702.4299640500001</v>
      </c>
      <c r="P19" s="540">
        <f>AVERAGE(M19:O19)</f>
        <v>1801.7183003133334</v>
      </c>
      <c r="Q19" s="495">
        <v>1731.98</v>
      </c>
      <c r="R19" s="495">
        <v>1499.67</v>
      </c>
      <c r="S19" s="495">
        <v>1559.4669999999999</v>
      </c>
      <c r="T19" s="540">
        <f>AVERAGE(Q19:S19)</f>
        <v>1597.039</v>
      </c>
      <c r="U19" s="562">
        <f>SUM(E19:G19,I19:K19,M19:O19,Q19:S19)</f>
        <v>19832.411900939998</v>
      </c>
      <c r="V19" s="562">
        <f>AVERAGE(E19:G19,I19:K19,M19:O19,Q19:S19)</f>
        <v>1652.7009917449998</v>
      </c>
      <c r="W19" s="234"/>
      <c r="X19" s="234"/>
    </row>
    <row r="20" spans="1:24" s="25" customFormat="1" ht="30" customHeight="1" x14ac:dyDescent="0.25">
      <c r="A20" s="698"/>
      <c r="B20" s="699" t="s">
        <v>31</v>
      </c>
      <c r="C20" s="700" t="s">
        <v>10</v>
      </c>
      <c r="D20" s="684"/>
      <c r="E20" s="519">
        <f>E19/E15</f>
        <v>3.3659417934662522E-3</v>
      </c>
      <c r="F20" s="519">
        <f t="shared" ref="F20:G20" si="15">F19/F15</f>
        <v>3.3365107573366743E-3</v>
      </c>
      <c r="G20" s="519">
        <f t="shared" si="15"/>
        <v>3.4736499750045902E-3</v>
      </c>
      <c r="H20" s="541">
        <f>AVERAGE(E20:G20)</f>
        <v>3.3920341752691724E-3</v>
      </c>
      <c r="I20" s="519">
        <f>I19/I15</f>
        <v>3.5158871108845829E-3</v>
      </c>
      <c r="J20" s="519">
        <f>J19/J15</f>
        <v>3.7227195684483897E-3</v>
      </c>
      <c r="K20" s="519">
        <f>K19/K15</f>
        <v>3.8694092563620447E-3</v>
      </c>
      <c r="L20" s="491">
        <f>SUM(I19:K19)/SUM(I15:K15)</f>
        <v>3.6956565182744085E-3</v>
      </c>
      <c r="M20" s="519">
        <f>M19/M15</f>
        <v>3.8606309324952051E-3</v>
      </c>
      <c r="N20" s="519">
        <f t="shared" ref="N20:O20" si="16">N19/N15</f>
        <v>3.8034780006062493E-3</v>
      </c>
      <c r="O20" s="519">
        <f t="shared" si="16"/>
        <v>3.686206170403895E-3</v>
      </c>
      <c r="P20" s="541">
        <f>SUM(M19:O19)/SUM(M15:O15)</f>
        <v>3.785710206382699E-3</v>
      </c>
      <c r="Q20" s="519">
        <f>Q19/Q15</f>
        <v>3.3610727761542846E-3</v>
      </c>
      <c r="R20" s="519">
        <f>R19/R15</f>
        <v>3.1780087516063366E-3</v>
      </c>
      <c r="S20" s="519">
        <f>S19/S15</f>
        <v>2.9762058292008091E-3</v>
      </c>
      <c r="T20" s="541">
        <f>SUM(Q19:S19)/SUM(Q15:S15)</f>
        <v>3.1704607139588824E-3</v>
      </c>
      <c r="U20" s="570" t="s">
        <v>11</v>
      </c>
      <c r="V20" s="564">
        <f>U19/U15</f>
        <v>3.5075772769429152E-3</v>
      </c>
      <c r="W20" s="235"/>
      <c r="X20" s="235"/>
    </row>
    <row r="21" spans="1:24" ht="33" customHeight="1" x14ac:dyDescent="0.25">
      <c r="A21" s="671" t="s">
        <v>24</v>
      </c>
      <c r="B21" s="701" t="s">
        <v>37</v>
      </c>
      <c r="C21" s="701" t="s">
        <v>19</v>
      </c>
      <c r="D21" s="702" t="s">
        <v>16</v>
      </c>
      <c r="E21" s="218">
        <f>E23+E25</f>
        <v>155727.66500000001</v>
      </c>
      <c r="F21" s="218">
        <f t="shared" ref="F21:G21" si="17">F23+F25</f>
        <v>151923.92200000002</v>
      </c>
      <c r="G21" s="218">
        <f t="shared" si="17"/>
        <v>164100.41200000001</v>
      </c>
      <c r="H21" s="544">
        <f>AVERAGE(E21:G21)</f>
        <v>157250.66633333336</v>
      </c>
      <c r="I21" s="218">
        <f>I23+I25</f>
        <v>166885.38800000001</v>
      </c>
      <c r="J21" s="218">
        <f>J23+J25</f>
        <v>160434.068</v>
      </c>
      <c r="K21" s="218">
        <f>K23+K25</f>
        <v>149891.986</v>
      </c>
      <c r="L21" s="499">
        <f>AVERAGE(I21:K21)</f>
        <v>159070.48066666667</v>
      </c>
      <c r="M21" s="218">
        <f>M23+M25</f>
        <v>166376.65600000002</v>
      </c>
      <c r="N21" s="218">
        <f t="shared" ref="N21:O21" si="18">N23+N25</f>
        <v>151060.671</v>
      </c>
      <c r="O21" s="218">
        <f t="shared" si="18"/>
        <v>157967.78999999998</v>
      </c>
      <c r="P21" s="544">
        <f>AVERAGE(M21:O21)</f>
        <v>158468.37233333333</v>
      </c>
      <c r="Q21" s="531">
        <f>Q23+Q25</f>
        <v>171041.99100000001</v>
      </c>
      <c r="R21" s="531">
        <f>R23+R25</f>
        <v>157076.83900000001</v>
      </c>
      <c r="S21" s="531">
        <f>S23+S25</f>
        <v>171432.163</v>
      </c>
      <c r="T21" s="544">
        <f>AVERAGE(Q21:S21)</f>
        <v>166516.99766666666</v>
      </c>
      <c r="U21" s="571">
        <f>SUM(E21:G21,I21:K21,M21:O21,Q21:S21)</f>
        <v>1923919.551</v>
      </c>
      <c r="V21" s="572">
        <f>AVERAGE(E21:G21,I21:K21,M21:O21,Q21:S21)</f>
        <v>160326.62925</v>
      </c>
      <c r="W21" s="233"/>
      <c r="X21" s="233"/>
    </row>
    <row r="22" spans="1:24" ht="30" customHeight="1" x14ac:dyDescent="0.25">
      <c r="A22" s="671"/>
      <c r="B22" s="703" t="s">
        <v>14</v>
      </c>
      <c r="C22" s="703" t="s">
        <v>38</v>
      </c>
      <c r="D22" s="704" t="s">
        <v>16</v>
      </c>
      <c r="E22" s="221">
        <f>E21/E7</f>
        <v>7078.5302272727276</v>
      </c>
      <c r="F22" s="221">
        <f>F21/F7</f>
        <v>7596.196100000001</v>
      </c>
      <c r="G22" s="221">
        <f>G21/G7</f>
        <v>7459.109636363637</v>
      </c>
      <c r="H22" s="545">
        <f>SUM(E21:G21)/SUM(E7:G7)</f>
        <v>7371.1249843750011</v>
      </c>
      <c r="I22" s="221">
        <f>I21/I7</f>
        <v>7946.923238095238</v>
      </c>
      <c r="J22" s="221">
        <f>J21/J7</f>
        <v>7639.7175238095242</v>
      </c>
      <c r="K22" s="221">
        <f>K21/K7</f>
        <v>7889.0518947368428</v>
      </c>
      <c r="L22" s="551">
        <f>SUM(I21:K21)/SUM(I7:K7)</f>
        <v>7823.138393442624</v>
      </c>
      <c r="M22" s="221">
        <f>M21/M7</f>
        <v>7233.767652173914</v>
      </c>
      <c r="N22" s="221">
        <f t="shared" ref="N22:O22" si="19">N21/N7</f>
        <v>7193.3652857142861</v>
      </c>
      <c r="O22" s="221">
        <f t="shared" si="19"/>
        <v>7522.2757142857135</v>
      </c>
      <c r="P22" s="545">
        <f>SUM(M21:O21)/SUM(M7:O7)</f>
        <v>7313.9248769230771</v>
      </c>
      <c r="Q22" s="532">
        <f>Q21/Q7</f>
        <v>7436.6083043478266</v>
      </c>
      <c r="R22" s="532">
        <f>R21/R7</f>
        <v>8267.2020526315791</v>
      </c>
      <c r="S22" s="532">
        <f>S21/S7</f>
        <v>8571.60815</v>
      </c>
      <c r="T22" s="545">
        <f>SUM(Q21:S21)/SUM(Q7:S7)</f>
        <v>8057.2740806451611</v>
      </c>
      <c r="U22" s="573" t="s">
        <v>11</v>
      </c>
      <c r="V22" s="574">
        <f>U21/U7</f>
        <v>7634.6013928571429</v>
      </c>
      <c r="W22" s="233"/>
      <c r="X22" s="233"/>
    </row>
    <row r="23" spans="1:24" s="27" customFormat="1" ht="33" customHeight="1" x14ac:dyDescent="0.35">
      <c r="A23" s="696"/>
      <c r="B23" s="697" t="s">
        <v>36</v>
      </c>
      <c r="C23" s="681" t="s">
        <v>19</v>
      </c>
      <c r="D23" s="682" t="s">
        <v>16</v>
      </c>
      <c r="E23" s="495">
        <v>153948.90400000001</v>
      </c>
      <c r="F23" s="495">
        <v>150241.50700000001</v>
      </c>
      <c r="G23" s="495">
        <v>162340.42300000001</v>
      </c>
      <c r="H23" s="540">
        <f>AVERAGE(E23:G23)</f>
        <v>155510.27800000002</v>
      </c>
      <c r="I23" s="495">
        <v>165083.91899999999</v>
      </c>
      <c r="J23" s="495">
        <v>158638.61199999999</v>
      </c>
      <c r="K23" s="495">
        <v>148211.01200000002</v>
      </c>
      <c r="L23" s="494">
        <f>AVERAGE(I23:K23)</f>
        <v>157311.18099999998</v>
      </c>
      <c r="M23" s="516">
        <v>164501.71600000001</v>
      </c>
      <c r="N23" s="516">
        <v>149371.56400000001</v>
      </c>
      <c r="O23" s="516">
        <v>156227.09699999998</v>
      </c>
      <c r="P23" s="540">
        <f>+AVERAGE(M23:O23)</f>
        <v>156700.12566666666</v>
      </c>
      <c r="Q23" s="495">
        <v>169206.84700000001</v>
      </c>
      <c r="R23" s="495">
        <v>155420.41</v>
      </c>
      <c r="S23" s="495">
        <v>169617.10800000001</v>
      </c>
      <c r="T23" s="540">
        <f>+AVERAGE(Q23:S23)</f>
        <v>164748.12166666667</v>
      </c>
      <c r="U23" s="562">
        <f>SUM(E23:G23,I23:K23,M23:O23,Q23:S23)</f>
        <v>1902809.1189999999</v>
      </c>
      <c r="V23" s="562">
        <f>AVERAGE(E23:G23,I23:K23,L23:O24)</f>
        <v>111848.56360499562</v>
      </c>
      <c r="W23" s="234"/>
      <c r="X23" s="234"/>
    </row>
    <row r="24" spans="1:24" s="25" customFormat="1" ht="30" customHeight="1" x14ac:dyDescent="0.25">
      <c r="A24" s="698"/>
      <c r="B24" s="699" t="s">
        <v>32</v>
      </c>
      <c r="C24" s="700" t="s">
        <v>21</v>
      </c>
      <c r="D24" s="684"/>
      <c r="E24" s="519">
        <f>E23/E21</f>
        <v>0.9885777456433319</v>
      </c>
      <c r="F24" s="519">
        <f t="shared" ref="F24:G24" si="20">F23/F21</f>
        <v>0.98892593754918989</v>
      </c>
      <c r="G24" s="519">
        <f t="shared" si="20"/>
        <v>0.98927492637861258</v>
      </c>
      <c r="H24" s="541">
        <f>SUM(E23:G23)/SUM(E21:G21)</f>
        <v>0.98893239453978432</v>
      </c>
      <c r="I24" s="519">
        <f>I23/I21</f>
        <v>0.98920535211866478</v>
      </c>
      <c r="J24" s="519">
        <f>J23/J21</f>
        <v>0.98880876099208548</v>
      </c>
      <c r="K24" s="519">
        <f>K23/K21</f>
        <v>0.98878543113038753</v>
      </c>
      <c r="L24" s="491">
        <f>SUM(I23:K23)/SUM(I21:K21)</f>
        <v>0.98894012478435067</v>
      </c>
      <c r="M24" s="519">
        <f>M23/M21</f>
        <v>0.98873075078513417</v>
      </c>
      <c r="N24" s="519">
        <f t="shared" ref="N24:O24" si="21">N23/N21</f>
        <v>0.98881835365341397</v>
      </c>
      <c r="O24" s="519">
        <f t="shared" si="21"/>
        <v>0.98898070929523041</v>
      </c>
      <c r="P24" s="541">
        <f>SUM(M23:O23)/SUM(M21:O21)</f>
        <v>0.98884164303178912</v>
      </c>
      <c r="Q24" s="519">
        <f>Q23/Q21</f>
        <v>0.98927079842048848</v>
      </c>
      <c r="R24" s="519">
        <f>R23/R21</f>
        <v>0.98945465792063714</v>
      </c>
      <c r="S24" s="519">
        <f>S23/S21</f>
        <v>0.98941240098568906</v>
      </c>
      <c r="T24" s="541">
        <f>SUM(Q23:S23)/SUM(Q21:S21)</f>
        <v>0.98937720458099454</v>
      </c>
      <c r="U24" s="575" t="s">
        <v>11</v>
      </c>
      <c r="V24" s="564">
        <f>U23/U21</f>
        <v>0.98902738319332151</v>
      </c>
      <c r="W24" s="235"/>
      <c r="X24" s="236"/>
    </row>
    <row r="25" spans="1:24" s="27" customFormat="1" ht="33" customHeight="1" x14ac:dyDescent="0.35">
      <c r="A25" s="691"/>
      <c r="B25" s="692" t="s">
        <v>36</v>
      </c>
      <c r="C25" s="676" t="s">
        <v>19</v>
      </c>
      <c r="D25" s="677" t="s">
        <v>16</v>
      </c>
      <c r="E25" s="444">
        <v>1778.761</v>
      </c>
      <c r="F25" s="444">
        <v>1682.415</v>
      </c>
      <c r="G25" s="444">
        <v>1759.989</v>
      </c>
      <c r="H25" s="538">
        <f>AVERAGE(E25:G25)</f>
        <v>1740.3883333333333</v>
      </c>
      <c r="I25" s="444">
        <v>1801.4690000000001</v>
      </c>
      <c r="J25" s="444">
        <v>1795.4559999999999</v>
      </c>
      <c r="K25" s="444">
        <v>1680.9739999999999</v>
      </c>
      <c r="L25" s="493">
        <f>AVERAGE(I25:K25)</f>
        <v>1759.2996666666668</v>
      </c>
      <c r="M25" s="444">
        <v>1874.94</v>
      </c>
      <c r="N25" s="200">
        <v>1689.107</v>
      </c>
      <c r="O25" s="200">
        <v>1740.693</v>
      </c>
      <c r="P25" s="538">
        <f>AVERAGE(M25:O25)</f>
        <v>1768.2466666666667</v>
      </c>
      <c r="Q25" s="508">
        <v>1835.144</v>
      </c>
      <c r="R25" s="508">
        <v>1656.4290000000001</v>
      </c>
      <c r="S25" s="789">
        <v>1815.0550000000001</v>
      </c>
      <c r="T25" s="538">
        <f>AVERAGE(Q25:S25)</f>
        <v>1768.8760000000002</v>
      </c>
      <c r="U25" s="558">
        <f>SUM(E25:G25,I25:K25,M25:O25,Q25:S25)</f>
        <v>21110.432000000001</v>
      </c>
      <c r="V25" s="576">
        <f>AVERAGE(E25:G25,I25:K25,M25:O25,Q25:S25)</f>
        <v>1759.2026666666668</v>
      </c>
      <c r="W25" s="234"/>
      <c r="X25" s="234"/>
    </row>
    <row r="26" spans="1:24" s="25" customFormat="1" ht="30" customHeight="1" x14ac:dyDescent="0.25">
      <c r="A26" s="693"/>
      <c r="B26" s="694" t="s">
        <v>31</v>
      </c>
      <c r="C26" s="695" t="s">
        <v>21</v>
      </c>
      <c r="D26" s="686"/>
      <c r="E26" s="521">
        <f>E25/E21</f>
        <v>1.1422254356668096E-2</v>
      </c>
      <c r="F26" s="521">
        <f t="shared" ref="F26:G26" si="22">F25/F21</f>
        <v>1.1074062450810083E-2</v>
      </c>
      <c r="G26" s="521">
        <f t="shared" si="22"/>
        <v>1.0725073621387374E-2</v>
      </c>
      <c r="H26" s="539">
        <f>SUM(E25:G25)/SUM(E21:G21)</f>
        <v>1.1067605460215547E-2</v>
      </c>
      <c r="I26" s="521">
        <f>I25/I21</f>
        <v>1.0794647881335183E-2</v>
      </c>
      <c r="J26" s="521">
        <f>J25/J21</f>
        <v>1.1191239007914452E-2</v>
      </c>
      <c r="K26" s="521">
        <f>K25/K21</f>
        <v>1.1214568869612548E-2</v>
      </c>
      <c r="L26" s="492">
        <f>SUM(I25:K25)/SUM(I21:K21)</f>
        <v>1.1059875215649167E-2</v>
      </c>
      <c r="M26" s="521">
        <f>M25/M21</f>
        <v>1.1269249214865815E-2</v>
      </c>
      <c r="N26" s="521">
        <f t="shared" ref="N26:O26" si="23">N25/N21</f>
        <v>1.1181646346586135E-2</v>
      </c>
      <c r="O26" s="521">
        <f t="shared" si="23"/>
        <v>1.1019290704769626E-2</v>
      </c>
      <c r="P26" s="539">
        <f>SUM(M25:O25)/SUM(M21:O21)</f>
        <v>1.1158356968210756E-2</v>
      </c>
      <c r="Q26" s="513">
        <f>Q25/Q21</f>
        <v>1.0729201579511547E-2</v>
      </c>
      <c r="R26" s="513">
        <f>R25/R21</f>
        <v>1.0545342079362826E-2</v>
      </c>
      <c r="S26" s="513">
        <f>S25/S21</f>
        <v>1.0587599014310984E-2</v>
      </c>
      <c r="T26" s="539">
        <f>SUM(Q25:S25)/SUM(Q21:S21)</f>
        <v>1.0622795419005404E-2</v>
      </c>
      <c r="U26" s="577" t="s">
        <v>11</v>
      </c>
      <c r="V26" s="565">
        <f>U25/U21</f>
        <v>1.0972616806678525E-2</v>
      </c>
      <c r="W26" s="235"/>
      <c r="X26" s="235"/>
    </row>
    <row r="27" spans="1:24" ht="33" customHeight="1" x14ac:dyDescent="0.25">
      <c r="A27" s="673" t="s">
        <v>33</v>
      </c>
      <c r="B27" s="687" t="s">
        <v>34</v>
      </c>
      <c r="C27" s="689" t="s">
        <v>18</v>
      </c>
      <c r="D27" s="690"/>
      <c r="E27" s="533">
        <v>1792</v>
      </c>
      <c r="F27" s="533">
        <v>1798</v>
      </c>
      <c r="G27" s="533">
        <v>1798</v>
      </c>
      <c r="H27" s="546">
        <f>AVERAGE(E27:G27)</f>
        <v>1796</v>
      </c>
      <c r="I27" s="533">
        <v>1797</v>
      </c>
      <c r="J27" s="533">
        <v>1797</v>
      </c>
      <c r="K27" s="533">
        <v>1797</v>
      </c>
      <c r="L27" s="552">
        <f>AVERAGE(I27:K27)</f>
        <v>1797</v>
      </c>
      <c r="M27" s="533">
        <v>2561</v>
      </c>
      <c r="N27" s="533">
        <v>2561</v>
      </c>
      <c r="O27" s="533">
        <v>2554</v>
      </c>
      <c r="P27" s="546">
        <f>AVERAGE(M27:O27)</f>
        <v>2558.6666666666665</v>
      </c>
      <c r="Q27" s="534">
        <v>2554</v>
      </c>
      <c r="R27" s="534">
        <v>2548</v>
      </c>
      <c r="S27" s="534">
        <v>2548</v>
      </c>
      <c r="T27" s="546">
        <f>AVERAGE(Q27:S27)</f>
        <v>2550</v>
      </c>
      <c r="U27" s="578" t="s">
        <v>11</v>
      </c>
      <c r="V27" s="579">
        <f>AVERAGE(E27:G27,I27:K27,M27:O27,Q27:S27)</f>
        <v>2175.4166666666665</v>
      </c>
      <c r="W27" s="233"/>
      <c r="X27" s="233"/>
    </row>
    <row r="28" spans="1:24" ht="30" customHeight="1" x14ac:dyDescent="0.25">
      <c r="A28" s="705"/>
      <c r="B28" s="705"/>
      <c r="C28" s="701" t="s">
        <v>19</v>
      </c>
      <c r="D28" s="702" t="s">
        <v>16</v>
      </c>
      <c r="E28" s="218">
        <f>E21</f>
        <v>155727.66500000001</v>
      </c>
      <c r="F28" s="218">
        <f t="shared" ref="F28:G28" si="24">F21</f>
        <v>151923.92200000002</v>
      </c>
      <c r="G28" s="218">
        <f t="shared" si="24"/>
        <v>164100.41200000001</v>
      </c>
      <c r="H28" s="544">
        <f>AVERAGE(E28:G28)</f>
        <v>157250.66633333336</v>
      </c>
      <c r="I28" s="218">
        <f>I21</f>
        <v>166885.38800000001</v>
      </c>
      <c r="J28" s="218">
        <f>J21</f>
        <v>160434.068</v>
      </c>
      <c r="K28" s="218">
        <f>K21</f>
        <v>149891.986</v>
      </c>
      <c r="L28" s="499">
        <f>AVERAGE(I28:J28)</f>
        <v>163659.728</v>
      </c>
      <c r="M28" s="218">
        <f>M21</f>
        <v>166376.65600000002</v>
      </c>
      <c r="N28" s="218">
        <f t="shared" ref="N28:O28" si="25">N21</f>
        <v>151060.671</v>
      </c>
      <c r="O28" s="218">
        <f t="shared" si="25"/>
        <v>157967.78999999998</v>
      </c>
      <c r="P28" s="544">
        <f>AVERAGE(M28:O28)</f>
        <v>158468.37233333333</v>
      </c>
      <c r="Q28" s="531">
        <f>Q21</f>
        <v>171041.99100000001</v>
      </c>
      <c r="R28" s="531">
        <f>R21</f>
        <v>157076.83900000001</v>
      </c>
      <c r="S28" s="531">
        <f>S21</f>
        <v>171432.163</v>
      </c>
      <c r="T28" s="544">
        <f>AVERAGE(Q28:S28)</f>
        <v>166516.99766666666</v>
      </c>
      <c r="U28" s="571">
        <f>SUM(E28:G28,I28:K28,M28:O28,Q28:S28)</f>
        <v>1923919.551</v>
      </c>
      <c r="V28" s="571">
        <f>AVERAGE(E28:G28,I28:K28,M28:O28,Q28:S28)</f>
        <v>160326.62925</v>
      </c>
      <c r="W28" s="233"/>
      <c r="X28" s="233"/>
    </row>
    <row r="29" spans="1:24" ht="30" customHeight="1" x14ac:dyDescent="0.25">
      <c r="A29" s="706"/>
      <c r="B29" s="707"/>
      <c r="C29" s="689" t="s">
        <v>20</v>
      </c>
      <c r="D29" s="690" t="s">
        <v>16</v>
      </c>
      <c r="E29" s="496">
        <f>E28/E7</f>
        <v>7078.5302272727276</v>
      </c>
      <c r="F29" s="496">
        <f t="shared" ref="F29:G29" si="26">F28/F7</f>
        <v>7596.196100000001</v>
      </c>
      <c r="G29" s="496">
        <f t="shared" si="26"/>
        <v>7459.109636363637</v>
      </c>
      <c r="H29" s="543">
        <f>SUM(E28:G28)/SUM(E7:G7)</f>
        <v>7371.1249843750011</v>
      </c>
      <c r="I29" s="496">
        <f>I28/I7</f>
        <v>7946.923238095238</v>
      </c>
      <c r="J29" s="496">
        <f>J28/J7</f>
        <v>7639.7175238095242</v>
      </c>
      <c r="K29" s="496">
        <f>K28/K7</f>
        <v>7889.0518947368428</v>
      </c>
      <c r="L29" s="497">
        <f>SUM(I28:K28)/SUM(I7:K7)</f>
        <v>7823.138393442624</v>
      </c>
      <c r="M29" s="496">
        <f>M28/M7</f>
        <v>7233.767652173914</v>
      </c>
      <c r="N29" s="496">
        <f t="shared" ref="N29:O29" si="27">N28/N7</f>
        <v>7193.3652857142861</v>
      </c>
      <c r="O29" s="496">
        <f t="shared" si="27"/>
        <v>7522.2757142857135</v>
      </c>
      <c r="P29" s="543">
        <f>SUM(M28:O28)/SUM(M7:O7)</f>
        <v>7313.9248769230771</v>
      </c>
      <c r="Q29" s="496">
        <f>Q28/Q7</f>
        <v>7436.6083043478266</v>
      </c>
      <c r="R29" s="496">
        <f>R28/R7</f>
        <v>8267.2020526315791</v>
      </c>
      <c r="S29" s="496">
        <f>S28/S7</f>
        <v>8571.60815</v>
      </c>
      <c r="T29" s="543">
        <f>SUM(Q28:S28)/SUM(Q7:S7)</f>
        <v>8057.2740806451611</v>
      </c>
      <c r="U29" s="568" t="s">
        <v>11</v>
      </c>
      <c r="V29" s="569">
        <f>U28/U7</f>
        <v>7634.6013928571429</v>
      </c>
      <c r="W29" s="233"/>
      <c r="X29" s="233"/>
    </row>
    <row r="30" spans="1:24" ht="30" customHeight="1" x14ac:dyDescent="0.25">
      <c r="A30" s="705"/>
      <c r="B30" s="705"/>
      <c r="C30" s="703" t="s">
        <v>22</v>
      </c>
      <c r="D30" s="704" t="s">
        <v>219</v>
      </c>
      <c r="E30" s="221">
        <f>E31/E28*1000</f>
        <v>2898.7985917595311</v>
      </c>
      <c r="F30" s="221">
        <f t="shared" ref="F30:G30" si="28">F31/F28*1000</f>
        <v>2733.0094269156634</v>
      </c>
      <c r="G30" s="221">
        <f t="shared" si="28"/>
        <v>2755.4167079117383</v>
      </c>
      <c r="H30" s="545">
        <f>SUM(E31:G31)/SUM(E28:G28)*1000</f>
        <v>2795.5316920660248</v>
      </c>
      <c r="I30" s="221">
        <f>I31/I28*1000</f>
        <v>2954.2044387972414</v>
      </c>
      <c r="J30" s="221">
        <f>J31/J28*1000</f>
        <v>2903.8526031765273</v>
      </c>
      <c r="K30" s="221">
        <f>K31/K28*1000</f>
        <v>2918.9175063702201</v>
      </c>
      <c r="L30" s="551">
        <f>SUM(I31:K31)/SUM(I28:K28)*1000</f>
        <v>2926.1930018853145</v>
      </c>
      <c r="M30" s="221">
        <f>M31/M28*1000</f>
        <v>3027.9076544405357</v>
      </c>
      <c r="N30" s="221">
        <f>N31/N28*1000</f>
        <v>3059.4805677740569</v>
      </c>
      <c r="O30" s="221">
        <f>O31/O28*1000</f>
        <v>2923.6211198484198</v>
      </c>
      <c r="P30" s="545">
        <f>SUM(M31:O31)/SUM(M28:O28)*1000</f>
        <v>3003.2876251136568</v>
      </c>
      <c r="Q30" s="532">
        <f>Q31/Q28*1000</f>
        <v>3012.743882290285</v>
      </c>
      <c r="R30" s="532">
        <f>R31/R28*1000</f>
        <v>3004.1973724719528</v>
      </c>
      <c r="S30" s="532">
        <f>S31/S28*1000</f>
        <v>3056.4755167908602</v>
      </c>
      <c r="T30" s="545">
        <f>SUM(Q31:S31)/SUM(Q28:S28)*1000</f>
        <v>3025.0640458640823</v>
      </c>
      <c r="U30" s="664" t="s">
        <v>11</v>
      </c>
      <c r="V30" s="603">
        <f>U31/U28*1000</f>
        <v>2938.8767819646782</v>
      </c>
      <c r="W30" s="233"/>
      <c r="X30" s="233"/>
    </row>
    <row r="31" spans="1:24" ht="30" customHeight="1" x14ac:dyDescent="0.25">
      <c r="A31" s="706"/>
      <c r="B31" s="707"/>
      <c r="C31" s="687" t="s">
        <v>26</v>
      </c>
      <c r="D31" s="688" t="s">
        <v>9</v>
      </c>
      <c r="E31" s="524">
        <f>E15</f>
        <v>451423.136</v>
      </c>
      <c r="F31" s="524">
        <f t="shared" ref="F31:G31" si="29">F15</f>
        <v>415209.511</v>
      </c>
      <c r="G31" s="524">
        <f t="shared" si="29"/>
        <v>452165.01699999999</v>
      </c>
      <c r="H31" s="542">
        <f>AVERAGE(E31:G31)</f>
        <v>439599.22133333329</v>
      </c>
      <c r="I31" s="524">
        <f>I15</f>
        <v>493013.55399999995</v>
      </c>
      <c r="J31" s="524">
        <f>J15</f>
        <v>465876.88600000006</v>
      </c>
      <c r="K31" s="524">
        <f>K15</f>
        <v>437522.34199999995</v>
      </c>
      <c r="L31" s="550">
        <f>AVERAGE(I31:K31)</f>
        <v>465470.9273333333</v>
      </c>
      <c r="M31" s="524">
        <f>M15</f>
        <v>503773.15022261994</v>
      </c>
      <c r="N31" s="524">
        <f t="shared" ref="N31:O31" si="30">N15</f>
        <v>462167.18747941003</v>
      </c>
      <c r="O31" s="524">
        <f t="shared" si="30"/>
        <v>461837.96709977998</v>
      </c>
      <c r="P31" s="542">
        <f>AVERAGE(M31:O31)</f>
        <v>475926.10160060338</v>
      </c>
      <c r="Q31" s="524">
        <f>Q15</f>
        <v>515305.71199999994</v>
      </c>
      <c r="R31" s="524">
        <f>R15</f>
        <v>471889.82699999999</v>
      </c>
      <c r="S31" s="524">
        <f>S15</f>
        <v>523978.20899999997</v>
      </c>
      <c r="T31" s="542">
        <f>AVERAGE(Q31:S31)</f>
        <v>503724.58266666665</v>
      </c>
      <c r="U31" s="567">
        <f>SUM(E31:G31,I31:K31,M31:O31,Q31:S31)</f>
        <v>5654162.4988018088</v>
      </c>
      <c r="V31" s="567">
        <f>AVERAGE(E31:G31,I31:K31,M31:O31,Q31:S31)</f>
        <v>471180.20823348407</v>
      </c>
      <c r="W31" s="233"/>
      <c r="X31" s="233"/>
    </row>
    <row r="32" spans="1:24" ht="33" customHeight="1" x14ac:dyDescent="0.25">
      <c r="A32" s="708"/>
      <c r="B32" s="708"/>
      <c r="C32" s="709" t="s">
        <v>20</v>
      </c>
      <c r="D32" s="710" t="s">
        <v>9</v>
      </c>
      <c r="E32" s="770">
        <f>E31/E7</f>
        <v>20519.233454545454</v>
      </c>
      <c r="F32" s="771">
        <f t="shared" ref="F32:G32" si="31">F31/F7</f>
        <v>20760.475549999999</v>
      </c>
      <c r="G32" s="771">
        <f t="shared" si="31"/>
        <v>20552.955318181819</v>
      </c>
      <c r="H32" s="772">
        <f>SUM(E31:G31)/SUM(E7:G7)</f>
        <v>20606.213499999998</v>
      </c>
      <c r="I32" s="771">
        <f>I31/I7</f>
        <v>23476.835904761901</v>
      </c>
      <c r="J32" s="771">
        <f>J31/J7</f>
        <v>22184.613619047621</v>
      </c>
      <c r="K32" s="771">
        <f>K31/K7</f>
        <v>23027.491684210523</v>
      </c>
      <c r="L32" s="773">
        <f>SUM(I31:K31)/SUM(I7:K7)</f>
        <v>22892.012819672131</v>
      </c>
      <c r="M32" s="771">
        <f>M31/M7</f>
        <v>21903.180444461737</v>
      </c>
      <c r="N32" s="771">
        <f>N31/N7</f>
        <v>22007.961308543334</v>
      </c>
      <c r="O32" s="771">
        <f>O31/O7</f>
        <v>21992.28414760857</v>
      </c>
      <c r="P32" s="772">
        <f>SUM(M31:O31)/SUM(M7:O7)</f>
        <v>21965.820073874002</v>
      </c>
      <c r="Q32" s="774">
        <f>Q31/Q7</f>
        <v>22404.59617391304</v>
      </c>
      <c r="R32" s="774">
        <f>R31/R7</f>
        <v>24836.306684210525</v>
      </c>
      <c r="S32" s="774">
        <f>S31/S7</f>
        <v>26198.910449999999</v>
      </c>
      <c r="T32" s="772">
        <f>SUM(Q31:S31)/SUM(Q7:S7)</f>
        <v>24373.770129032255</v>
      </c>
      <c r="U32" s="775" t="s">
        <v>11</v>
      </c>
      <c r="V32" s="776">
        <f>U31/U7</f>
        <v>22437.152773023052</v>
      </c>
      <c r="W32" s="233"/>
      <c r="X32" s="233"/>
    </row>
    <row r="33" spans="1:24" s="135" customFormat="1" ht="30" customHeight="1" x14ac:dyDescent="0.25">
      <c r="A33" s="980" t="s">
        <v>387</v>
      </c>
      <c r="B33" s="980"/>
      <c r="C33" s="980"/>
      <c r="D33" s="980"/>
      <c r="E33" s="980"/>
      <c r="F33" s="980"/>
      <c r="G33" s="327"/>
      <c r="H33" s="327"/>
      <c r="I33" s="327"/>
      <c r="J33" s="327"/>
      <c r="K33" s="327"/>
      <c r="L33" s="327"/>
      <c r="M33" s="791"/>
      <c r="N33" s="791"/>
      <c r="O33" s="791"/>
      <c r="P33" s="791"/>
      <c r="Q33" s="791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490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500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8">
    <mergeCell ref="A33:F33"/>
    <mergeCell ref="B13:B14"/>
    <mergeCell ref="A3:V3"/>
    <mergeCell ref="A4:V4"/>
    <mergeCell ref="B5:C6"/>
    <mergeCell ref="B7:C7"/>
    <mergeCell ref="B8:C8"/>
    <mergeCell ref="B11:B12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43" orientation="landscape" r:id="rId1"/>
  <headerFooter alignWithMargins="0"/>
  <ignoredErrors>
    <ignoredError sqref="H10:H24 H26:H32 P10:P24 P26:P32 L10:L32 T26 V26 V20 V10:V14 T10:T2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2057"/>
  <sheetViews>
    <sheetView view="pageBreakPreview" topLeftCell="A5" zoomScale="70" zoomScaleNormal="60" zoomScaleSheetLayoutView="70" workbookViewId="0">
      <pane xSplit="4" ySplit="2" topLeftCell="E7" activePane="bottomRight" state="frozen"/>
      <selection activeCell="C34" sqref="C34"/>
      <selection pane="topRight" activeCell="C34" sqref="C34"/>
      <selection pane="bottomLeft" activeCell="C34" sqref="C34"/>
      <selection pane="bottomRight" activeCell="J19" sqref="J19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0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6.699218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  <c r="K2" s="588"/>
    </row>
    <row r="3" spans="1:24" ht="19.5" customHeight="1" x14ac:dyDescent="0.4">
      <c r="A3" s="958" t="s">
        <v>42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</row>
    <row r="4" spans="1:24" s="134" customFormat="1" ht="24" customHeight="1" x14ac:dyDescent="0.25">
      <c r="A4" s="959" t="s">
        <v>336</v>
      </c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</row>
    <row r="5" spans="1:24" ht="42" customHeight="1" thickBot="1" x14ac:dyDescent="0.45">
      <c r="A5" s="662" t="s">
        <v>1</v>
      </c>
      <c r="B5" s="973" t="s">
        <v>2</v>
      </c>
      <c r="C5" s="974"/>
      <c r="D5" s="665" t="s">
        <v>3</v>
      </c>
      <c r="E5" s="666" t="s">
        <v>337</v>
      </c>
      <c r="F5" s="666" t="s">
        <v>338</v>
      </c>
      <c r="G5" s="666" t="s">
        <v>339</v>
      </c>
      <c r="H5" s="666" t="s">
        <v>340</v>
      </c>
      <c r="I5" s="666" t="s">
        <v>341</v>
      </c>
      <c r="J5" s="666" t="s">
        <v>342</v>
      </c>
      <c r="K5" s="666" t="s">
        <v>343</v>
      </c>
      <c r="L5" s="666" t="s">
        <v>344</v>
      </c>
      <c r="M5" s="666" t="s">
        <v>345</v>
      </c>
      <c r="N5" s="666" t="s">
        <v>346</v>
      </c>
      <c r="O5" s="666" t="s">
        <v>347</v>
      </c>
      <c r="P5" s="666" t="s">
        <v>348</v>
      </c>
      <c r="Q5" s="666" t="s">
        <v>349</v>
      </c>
      <c r="R5" s="666" t="s">
        <v>350</v>
      </c>
      <c r="S5" s="666" t="s">
        <v>351</v>
      </c>
      <c r="T5" s="666" t="s">
        <v>352</v>
      </c>
      <c r="U5" s="667" t="s">
        <v>46</v>
      </c>
      <c r="V5" s="668" t="s">
        <v>58</v>
      </c>
      <c r="W5" s="233"/>
      <c r="X5" s="233"/>
    </row>
    <row r="6" spans="1:24" ht="44.25" customHeight="1" thickTop="1" x14ac:dyDescent="0.35">
      <c r="A6" s="663"/>
      <c r="B6" s="975"/>
      <c r="C6" s="976"/>
      <c r="D6" s="590" t="s">
        <v>4</v>
      </c>
      <c r="E6" s="583"/>
      <c r="F6" s="583"/>
      <c r="G6" s="583"/>
      <c r="H6" s="584" t="s">
        <v>45</v>
      </c>
      <c r="I6" s="585"/>
      <c r="J6" s="585"/>
      <c r="K6" s="585"/>
      <c r="L6" s="584" t="s">
        <v>45</v>
      </c>
      <c r="M6" s="585"/>
      <c r="N6" s="585"/>
      <c r="O6" s="585"/>
      <c r="P6" s="584" t="s">
        <v>45</v>
      </c>
      <c r="Q6" s="585"/>
      <c r="R6" s="585"/>
      <c r="S6" s="585"/>
      <c r="T6" s="584" t="s">
        <v>45</v>
      </c>
      <c r="U6" s="586" t="s">
        <v>53</v>
      </c>
      <c r="V6" s="587" t="s">
        <v>53</v>
      </c>
      <c r="W6" s="233"/>
      <c r="X6" s="233"/>
    </row>
    <row r="7" spans="1:24" ht="30" customHeight="1" x14ac:dyDescent="0.25">
      <c r="A7" s="671" t="s">
        <v>5</v>
      </c>
      <c r="B7" s="977" t="s">
        <v>6</v>
      </c>
      <c r="C7" s="977"/>
      <c r="D7" s="672"/>
      <c r="E7" s="326">
        <v>22</v>
      </c>
      <c r="F7" s="326">
        <v>20</v>
      </c>
      <c r="G7" s="326">
        <v>22</v>
      </c>
      <c r="H7" s="536">
        <f t="shared" ref="H7:H15" si="0">AVERAGE(E7:G7)</f>
        <v>21.333333333333332</v>
      </c>
      <c r="I7" s="326">
        <v>20</v>
      </c>
      <c r="J7" s="326">
        <v>20</v>
      </c>
      <c r="K7" s="326">
        <v>21</v>
      </c>
      <c r="L7" s="548">
        <f>AVERAGE(I7:K7)</f>
        <v>20.333333333333332</v>
      </c>
      <c r="M7" s="326">
        <v>22</v>
      </c>
      <c r="N7" s="326">
        <v>22</v>
      </c>
      <c r="O7" s="326">
        <v>20</v>
      </c>
      <c r="P7" s="536">
        <f>AVERAGE(M7:O7)</f>
        <v>21.333333333333332</v>
      </c>
      <c r="Q7" s="502">
        <v>23</v>
      </c>
      <c r="R7" s="502">
        <v>21</v>
      </c>
      <c r="S7" s="502">
        <v>19</v>
      </c>
      <c r="T7" s="536">
        <f>AVERAGE(Q7:S7)</f>
        <v>21</v>
      </c>
      <c r="U7" s="553">
        <f>SUM(E7:G7,I7:K7,M7:O7,Q7:S7)</f>
        <v>252</v>
      </c>
      <c r="V7" s="554">
        <f>AVERAGE(E7:G7,I7:K7,M7:O7,Q7:S7)</f>
        <v>21</v>
      </c>
      <c r="W7" s="233"/>
      <c r="X7" s="233"/>
    </row>
    <row r="8" spans="1:24" ht="30" customHeight="1" x14ac:dyDescent="0.25">
      <c r="A8" s="673" t="s">
        <v>7</v>
      </c>
      <c r="B8" s="978" t="s">
        <v>40</v>
      </c>
      <c r="C8" s="978"/>
      <c r="D8" s="674"/>
      <c r="E8" s="504">
        <v>40</v>
      </c>
      <c r="F8" s="504">
        <v>40</v>
      </c>
      <c r="G8" s="504">
        <v>40</v>
      </c>
      <c r="H8" s="537">
        <f t="shared" si="0"/>
        <v>40</v>
      </c>
      <c r="I8" s="504">
        <v>40</v>
      </c>
      <c r="J8" s="504">
        <v>40</v>
      </c>
      <c r="K8" s="504">
        <v>40</v>
      </c>
      <c r="L8" s="549">
        <f>AVERAGE(I8:K8)</f>
        <v>40</v>
      </c>
      <c r="M8" s="504">
        <v>41</v>
      </c>
      <c r="N8" s="504">
        <v>41</v>
      </c>
      <c r="O8" s="504">
        <v>41</v>
      </c>
      <c r="P8" s="537">
        <f>AVERAGE(M8:O8)</f>
        <v>41</v>
      </c>
      <c r="Q8" s="505">
        <v>41</v>
      </c>
      <c r="R8" s="505">
        <v>40</v>
      </c>
      <c r="S8" s="505">
        <v>40</v>
      </c>
      <c r="T8" s="537">
        <f>AVERAGE(Q8:S8)</f>
        <v>40.333333333333336</v>
      </c>
      <c r="U8" s="555" t="s">
        <v>11</v>
      </c>
      <c r="V8" s="556">
        <f>AVERAGE(E8:G8,I8:K8,M8:O8,Q8:S8)</f>
        <v>40.333333333333336</v>
      </c>
      <c r="W8" s="233"/>
      <c r="X8" s="233"/>
    </row>
    <row r="9" spans="1:24" ht="33.75" customHeight="1" x14ac:dyDescent="0.35">
      <c r="A9" s="671" t="s">
        <v>12</v>
      </c>
      <c r="B9" s="675" t="s">
        <v>27</v>
      </c>
      <c r="C9" s="676" t="s">
        <v>181</v>
      </c>
      <c r="D9" s="677" t="s">
        <v>9</v>
      </c>
      <c r="E9" s="444">
        <v>191469.50899999999</v>
      </c>
      <c r="F9" s="444">
        <v>167446.87700000001</v>
      </c>
      <c r="G9" s="444">
        <v>188443.86</v>
      </c>
      <c r="H9" s="538">
        <f t="shared" si="0"/>
        <v>182453.41533333334</v>
      </c>
      <c r="I9" s="444">
        <v>190982.01699999999</v>
      </c>
      <c r="J9" s="444">
        <v>188410.90900000001</v>
      </c>
      <c r="K9" s="444">
        <v>193194.63099999999</v>
      </c>
      <c r="L9" s="493">
        <f>AVERAGE(I9:K9)</f>
        <v>190862.519</v>
      </c>
      <c r="M9" s="669">
        <v>203936.886</v>
      </c>
      <c r="N9" s="444">
        <v>198685.478</v>
      </c>
      <c r="O9" s="670">
        <v>184307.40599999999</v>
      </c>
      <c r="P9" s="538">
        <f>AVERAGE(M9:O9)</f>
        <v>195643.25666666668</v>
      </c>
      <c r="Q9" s="508">
        <v>214590.111</v>
      </c>
      <c r="R9" s="508">
        <v>209113.89799999999</v>
      </c>
      <c r="S9" s="508">
        <v>218619.22</v>
      </c>
      <c r="T9" s="538">
        <f>AVERAGE(Q9:S9)</f>
        <v>214107.74299999999</v>
      </c>
      <c r="U9" s="557">
        <f>SUM(E9:G9,I9:K9,M9:O9,Q9:S9)</f>
        <v>2349200.8020000001</v>
      </c>
      <c r="V9" s="558">
        <f>AVERAGE(E9:G9,I9:K9,M9:O9,Q9:S9)</f>
        <v>195766.7335</v>
      </c>
      <c r="W9" s="317"/>
      <c r="X9" s="233"/>
    </row>
    <row r="10" spans="1:24" ht="30" customHeight="1" x14ac:dyDescent="0.35">
      <c r="A10" s="671"/>
      <c r="B10" s="678" t="s">
        <v>28</v>
      </c>
      <c r="C10" s="679" t="s">
        <v>10</v>
      </c>
      <c r="D10" s="680"/>
      <c r="E10" s="512">
        <f>E9/E15</f>
        <v>0.44562432724157625</v>
      </c>
      <c r="F10" s="512">
        <f t="shared" ref="F10:G10" si="1">F9/F15</f>
        <v>0.44159135593733567</v>
      </c>
      <c r="G10" s="512">
        <f t="shared" si="1"/>
        <v>0.44177808454568007</v>
      </c>
      <c r="H10" s="539">
        <f t="shared" si="0"/>
        <v>0.44299792257486398</v>
      </c>
      <c r="I10" s="513">
        <f>I9/I15</f>
        <v>0.44239530729952692</v>
      </c>
      <c r="J10" s="513">
        <f>J9/J15</f>
        <v>0.44977522233030853</v>
      </c>
      <c r="K10" s="513">
        <f>K9/K15</f>
        <v>0.44827965072457326</v>
      </c>
      <c r="L10" s="492">
        <f>SUM(I9:K9)/SUM(I15:K15)</f>
        <v>0.44678634424340319</v>
      </c>
      <c r="M10" s="513">
        <f>M9/M15</f>
        <v>0.44919489110431304</v>
      </c>
      <c r="N10" s="513">
        <f>N9/N15</f>
        <v>0.44801484431498506</v>
      </c>
      <c r="O10" s="513">
        <f>O9/O15</f>
        <v>0.44403836389342111</v>
      </c>
      <c r="P10" s="539">
        <f>SUM(M9:O9)/SUM(M15:O15)</f>
        <v>0.44716552906803853</v>
      </c>
      <c r="Q10" s="513">
        <f>Q9/Q15</f>
        <v>0.43805884421262126</v>
      </c>
      <c r="R10" s="513">
        <f>R9/R15</f>
        <v>0.44455182849946812</v>
      </c>
      <c r="S10" s="513">
        <f>S9/S15</f>
        <v>0.46149377764339017</v>
      </c>
      <c r="T10" s="539">
        <f>SUM(Q9:S9)/SUM(Q15:S15)</f>
        <v>0.4479305816808436</v>
      </c>
      <c r="U10" s="559" t="s">
        <v>11</v>
      </c>
      <c r="V10" s="560">
        <f>U9/U15</f>
        <v>0.4463176534015133</v>
      </c>
      <c r="W10" s="448"/>
      <c r="X10" s="402"/>
    </row>
    <row r="11" spans="1:24" ht="33" customHeight="1" x14ac:dyDescent="0.35">
      <c r="A11" s="673"/>
      <c r="B11" s="979" t="s">
        <v>29</v>
      </c>
      <c r="C11" s="681" t="s">
        <v>181</v>
      </c>
      <c r="D11" s="682" t="s">
        <v>9</v>
      </c>
      <c r="E11" s="495">
        <v>142734.47200000001</v>
      </c>
      <c r="F11" s="495">
        <v>129771.961</v>
      </c>
      <c r="G11" s="495">
        <v>146930.76800000001</v>
      </c>
      <c r="H11" s="540">
        <f t="shared" si="0"/>
        <v>139812.40033333332</v>
      </c>
      <c r="I11" s="495">
        <v>146223.14300000001</v>
      </c>
      <c r="J11" s="495">
        <v>141917.63399999999</v>
      </c>
      <c r="K11" s="495">
        <v>144370.96900000001</v>
      </c>
      <c r="L11" s="494">
        <f>AVERAGE(I11:K11)</f>
        <v>144170.58200000002</v>
      </c>
      <c r="M11" s="600">
        <v>151731.274</v>
      </c>
      <c r="N11" s="516">
        <v>152321.636</v>
      </c>
      <c r="O11" s="516">
        <v>142929.136</v>
      </c>
      <c r="P11" s="540">
        <f>AVERAGE(M11:O11)</f>
        <v>148994.01533333334</v>
      </c>
      <c r="Q11" s="495">
        <v>170035.98199999999</v>
      </c>
      <c r="R11" s="495">
        <v>158186.82399999999</v>
      </c>
      <c r="S11" s="495">
        <v>159764.04399999999</v>
      </c>
      <c r="T11" s="540">
        <f>AVERAGE(Q11:S11)</f>
        <v>162662.28333333333</v>
      </c>
      <c r="U11" s="561">
        <f>SUM(E11:G11,I11:K11,M11:O11,Q11:S11)</f>
        <v>1786917.8430000001</v>
      </c>
      <c r="V11" s="562">
        <f>AVERAGE(E11:G11,I11:K11,M11:O11,Q11:S11)</f>
        <v>148909.82025000002</v>
      </c>
      <c r="W11" s="402"/>
      <c r="X11" s="233"/>
    </row>
    <row r="12" spans="1:24" ht="30" customHeight="1" x14ac:dyDescent="0.25">
      <c r="A12" s="673"/>
      <c r="B12" s="979"/>
      <c r="C12" s="683" t="s">
        <v>10</v>
      </c>
      <c r="D12" s="684"/>
      <c r="E12" s="512">
        <f>E11/E15</f>
        <v>0.33219886232215495</v>
      </c>
      <c r="F12" s="512">
        <f t="shared" ref="F12:G12" si="2">F11/F15</f>
        <v>0.34223496578342893</v>
      </c>
      <c r="G12" s="512">
        <f t="shared" si="2"/>
        <v>0.34445692869943184</v>
      </c>
      <c r="H12" s="541">
        <f t="shared" si="0"/>
        <v>0.33963025226833859</v>
      </c>
      <c r="I12" s="519">
        <f>I11/I15</f>
        <v>0.33871478214510464</v>
      </c>
      <c r="J12" s="519">
        <f>J11/J15</f>
        <v>0.33878630342440175</v>
      </c>
      <c r="K12" s="519">
        <f>K11/K15</f>
        <v>0.33499154310394991</v>
      </c>
      <c r="L12" s="491">
        <f>SUM(I11:K11)/SUM(I15:K15)</f>
        <v>0.3374861005540003</v>
      </c>
      <c r="M12" s="597">
        <f>M11/M15</f>
        <v>0.33420591261528182</v>
      </c>
      <c r="N12" s="519">
        <f t="shared" ref="N12:O12" si="3">N11/N15</f>
        <v>0.34346925968260156</v>
      </c>
      <c r="O12" s="519">
        <f t="shared" si="3"/>
        <v>0.34434872195065386</v>
      </c>
      <c r="P12" s="541">
        <f>SUM(M11:O11)/SUM(M15:O15)</f>
        <v>0.34054323583467977</v>
      </c>
      <c r="Q12" s="519">
        <f>Q11/Q15</f>
        <v>0.3471071681838967</v>
      </c>
      <c r="R12" s="519">
        <f>R11/R15</f>
        <v>0.33628679167811004</v>
      </c>
      <c r="S12" s="519">
        <f>S11/S15</f>
        <v>0.33725356900067982</v>
      </c>
      <c r="T12" s="541">
        <f>SUM(Q11:S11)/SUM(Q15:S15)</f>
        <v>0.34030255127687836</v>
      </c>
      <c r="U12" s="563" t="s">
        <v>11</v>
      </c>
      <c r="V12" s="564">
        <f>U11/U15</f>
        <v>0.33949119114469539</v>
      </c>
      <c r="W12" s="402"/>
      <c r="X12" s="233"/>
    </row>
    <row r="13" spans="1:24" ht="33" customHeight="1" x14ac:dyDescent="0.35">
      <c r="A13" s="671"/>
      <c r="B13" s="969" t="s">
        <v>30</v>
      </c>
      <c r="C13" s="676" t="s">
        <v>181</v>
      </c>
      <c r="D13" s="677" t="s">
        <v>9</v>
      </c>
      <c r="E13" s="444">
        <v>93951.705000000002</v>
      </c>
      <c r="F13" s="444">
        <v>80626.668000000005</v>
      </c>
      <c r="G13" s="444">
        <v>89643.051999999996</v>
      </c>
      <c r="H13" s="538">
        <f t="shared" si="0"/>
        <v>88073.808333333349</v>
      </c>
      <c r="I13" s="444">
        <v>92898.937000000005</v>
      </c>
      <c r="J13" s="444">
        <v>87006.350999999995</v>
      </c>
      <c r="K13" s="444">
        <v>91676.672000000006</v>
      </c>
      <c r="L13" s="493">
        <f>AVERAGE(I13:K13)</f>
        <v>90527.32</v>
      </c>
      <c r="M13" s="669">
        <v>96538.232999999993</v>
      </c>
      <c r="N13" s="200">
        <v>90762.755000000005</v>
      </c>
      <c r="O13" s="200">
        <v>86389.645000000004</v>
      </c>
      <c r="P13" s="538">
        <f>AVERAGE(M13:O13)</f>
        <v>91230.21100000001</v>
      </c>
      <c r="Q13" s="508">
        <v>103490.496</v>
      </c>
      <c r="R13" s="508">
        <v>101445.495</v>
      </c>
      <c r="S13" s="508">
        <v>93765.282999999996</v>
      </c>
      <c r="T13" s="538">
        <f>AVERAGE(Q13:S13)</f>
        <v>99567.09133333333</v>
      </c>
      <c r="U13" s="557">
        <f>SUM(E13:G13,I13:K13,M13:O13,Q13:S13)</f>
        <v>1108195.2920000001</v>
      </c>
      <c r="V13" s="558">
        <f>AVERAGE(E13:G13,I13:K13,M13:O13,Q13:S13)</f>
        <v>92349.607666666678</v>
      </c>
      <c r="W13" s="402"/>
      <c r="X13" s="233"/>
    </row>
    <row r="14" spans="1:24" ht="30" customHeight="1" x14ac:dyDescent="0.25">
      <c r="A14" s="671"/>
      <c r="B14" s="969"/>
      <c r="C14" s="685" t="s">
        <v>10</v>
      </c>
      <c r="D14" s="686"/>
      <c r="E14" s="512">
        <f>E13/E15</f>
        <v>0.21866231105143763</v>
      </c>
      <c r="F14" s="512">
        <f t="shared" ref="F14:G14" si="4">F13/F15</f>
        <v>0.21262886644836854</v>
      </c>
      <c r="G14" s="512">
        <f t="shared" si="4"/>
        <v>0.21015455640416619</v>
      </c>
      <c r="H14" s="539">
        <f t="shared" si="0"/>
        <v>0.21381524463465743</v>
      </c>
      <c r="I14" s="521">
        <f>I13/I15</f>
        <v>0.21519331729497021</v>
      </c>
      <c r="J14" s="521">
        <f>J13/J15</f>
        <v>0.20770188452927563</v>
      </c>
      <c r="K14" s="521">
        <f>K13/K15</f>
        <v>0.21272219777034729</v>
      </c>
      <c r="L14" s="492">
        <f>SUM(I13:K13)/SUM(I15:K15)</f>
        <v>0.21191363589282147</v>
      </c>
      <c r="M14" s="521">
        <f>M13/M15</f>
        <v>0.21263677165217573</v>
      </c>
      <c r="N14" s="521">
        <f t="shared" ref="N14:O14" si="5">N13/N15</f>
        <v>0.20466046114816772</v>
      </c>
      <c r="O14" s="521">
        <f t="shared" si="5"/>
        <v>0.20813225825083487</v>
      </c>
      <c r="P14" s="539">
        <f>SUM(M13:O13)/SUM(M15:O15)</f>
        <v>0.20851730984170624</v>
      </c>
      <c r="Q14" s="513">
        <f>Q13/Q15</f>
        <v>0.21126289023053305</v>
      </c>
      <c r="R14" s="513">
        <f>R13/R15</f>
        <v>0.21566132488852394</v>
      </c>
      <c r="S14" s="513">
        <f>S13/S15</f>
        <v>0.19793362479049897</v>
      </c>
      <c r="T14" s="539">
        <f>SUM(Q13:S13)/SUM(Q15:S15)</f>
        <v>0.20830234587643887</v>
      </c>
      <c r="U14" s="565" t="s">
        <v>11</v>
      </c>
      <c r="V14" s="566">
        <f>U13/U15</f>
        <v>0.21054271810862632</v>
      </c>
      <c r="W14" s="233"/>
      <c r="X14" s="233"/>
    </row>
    <row r="15" spans="1:24" ht="33" customHeight="1" x14ac:dyDescent="0.25">
      <c r="A15" s="673" t="s">
        <v>17</v>
      </c>
      <c r="B15" s="687" t="s">
        <v>13</v>
      </c>
      <c r="C15" s="687" t="s">
        <v>8</v>
      </c>
      <c r="D15" s="688" t="s">
        <v>9</v>
      </c>
      <c r="E15" s="524">
        <f>E17+E19</f>
        <v>429665.74600000004</v>
      </c>
      <c r="F15" s="524">
        <f t="shared" ref="F15:G15" si="6">F17+F19</f>
        <v>379189.66200000001</v>
      </c>
      <c r="G15" s="524">
        <f t="shared" si="6"/>
        <v>426557.73700000002</v>
      </c>
      <c r="H15" s="542">
        <f t="shared" si="0"/>
        <v>411804.38166666665</v>
      </c>
      <c r="I15" s="524">
        <f>I17+I19</f>
        <v>431699.91600000008</v>
      </c>
      <c r="J15" s="524">
        <f>J17+J19</f>
        <v>418900.15199999994</v>
      </c>
      <c r="K15" s="524">
        <f>K17+K19</f>
        <v>430968.99599999998</v>
      </c>
      <c r="L15" s="550">
        <f>AVERAGE(I15:K15)</f>
        <v>427189.68800000002</v>
      </c>
      <c r="M15" s="524">
        <f>M17+M19</f>
        <v>454005.35500000004</v>
      </c>
      <c r="N15" s="524">
        <f t="shared" ref="N15:O15" si="7">N17+N19</f>
        <v>443479.67599999998</v>
      </c>
      <c r="O15" s="524">
        <f t="shared" si="7"/>
        <v>415070.90600000002</v>
      </c>
      <c r="P15" s="542">
        <f>AVERAGE(M15:O15)</f>
        <v>437518.64566666662</v>
      </c>
      <c r="Q15" s="524">
        <f>Q17+Q19</f>
        <v>489865.94799999997</v>
      </c>
      <c r="R15" s="524">
        <f>R17+R19</f>
        <v>470392.61699999997</v>
      </c>
      <c r="S15" s="524">
        <f>S17+S19</f>
        <v>473720.83999999997</v>
      </c>
      <c r="T15" s="542">
        <f>AVERAGE(Q15:S15)</f>
        <v>477993.13499999995</v>
      </c>
      <c r="U15" s="567">
        <f>SUM(E15:G15,I15:K15,M15:O15,Q15:S15)</f>
        <v>5263517.551</v>
      </c>
      <c r="V15" s="567">
        <f>AVERAGE(E15:G15,I15:K15,M15:O15,Q15:S15)</f>
        <v>438626.46258333331</v>
      </c>
      <c r="W15" s="317"/>
      <c r="X15" s="233"/>
    </row>
    <row r="16" spans="1:24" ht="30" customHeight="1" x14ac:dyDescent="0.25">
      <c r="A16" s="673"/>
      <c r="B16" s="689" t="s">
        <v>14</v>
      </c>
      <c r="C16" s="689" t="s">
        <v>15</v>
      </c>
      <c r="D16" s="690" t="s">
        <v>9</v>
      </c>
      <c r="E16" s="496">
        <f>E15/E7</f>
        <v>19530.261181818183</v>
      </c>
      <c r="F16" s="496">
        <f t="shared" ref="F16:G16" si="8">F15/F7</f>
        <v>18959.483100000001</v>
      </c>
      <c r="G16" s="496">
        <f t="shared" si="8"/>
        <v>19388.988045454545</v>
      </c>
      <c r="H16" s="543">
        <f>SUM(E15:G15)/SUM(E7:G7)</f>
        <v>19303.330390625</v>
      </c>
      <c r="I16" s="496">
        <f>I15/I7</f>
        <v>21584.995800000004</v>
      </c>
      <c r="J16" s="496">
        <f>J15/J7</f>
        <v>20945.007599999997</v>
      </c>
      <c r="K16" s="496">
        <f>K15/K7</f>
        <v>20522.333142857144</v>
      </c>
      <c r="L16" s="497">
        <f>SUM(I15:K15)/SUM(I7:K7)</f>
        <v>21009.328918032788</v>
      </c>
      <c r="M16" s="496">
        <f>M15/M7</f>
        <v>20636.607045454548</v>
      </c>
      <c r="N16" s="496">
        <f t="shared" ref="N16:O16" si="9">N15/N7</f>
        <v>20158.16709090909</v>
      </c>
      <c r="O16" s="496">
        <f t="shared" si="9"/>
        <v>20753.545300000002</v>
      </c>
      <c r="P16" s="543">
        <f>SUM(M15:O15)/SUM(M7:O7)</f>
        <v>20508.686515624999</v>
      </c>
      <c r="Q16" s="496">
        <f>Q15/Q7</f>
        <v>21298.519478260867</v>
      </c>
      <c r="R16" s="496">
        <f>R15/R7</f>
        <v>22399.648428571429</v>
      </c>
      <c r="S16" s="496">
        <f>S15/S7</f>
        <v>24932.675789473684</v>
      </c>
      <c r="T16" s="543">
        <f>SUM(Q15:S15)/SUM(Q7:S7)</f>
        <v>22761.577857142853</v>
      </c>
      <c r="U16" s="568" t="s">
        <v>11</v>
      </c>
      <c r="V16" s="569">
        <f>U15/U7</f>
        <v>20886.974408730159</v>
      </c>
      <c r="W16" s="233"/>
      <c r="X16" s="233"/>
    </row>
    <row r="17" spans="1:24" s="27" customFormat="1" ht="33" customHeight="1" x14ac:dyDescent="0.35">
      <c r="A17" s="691"/>
      <c r="B17" s="692" t="s">
        <v>36</v>
      </c>
      <c r="C17" s="676" t="s">
        <v>8</v>
      </c>
      <c r="D17" s="677" t="s">
        <v>9</v>
      </c>
      <c r="E17" s="200">
        <f>E9+E11+E13</f>
        <v>428155.68600000005</v>
      </c>
      <c r="F17" s="200">
        <f t="shared" ref="F17:G17" si="10">F9+F11+F13</f>
        <v>377845.50599999999</v>
      </c>
      <c r="G17" s="200">
        <f t="shared" si="10"/>
        <v>425017.68000000005</v>
      </c>
      <c r="H17" s="538">
        <f>AVERAGE(E17:G17)</f>
        <v>410339.62400000001</v>
      </c>
      <c r="I17" s="200">
        <f>I9+I11+I13</f>
        <v>430104.09700000007</v>
      </c>
      <c r="J17" s="200">
        <f>J9+J11+J13</f>
        <v>417334.89399999997</v>
      </c>
      <c r="K17" s="200">
        <f>K9+K11+K13</f>
        <v>429242.272</v>
      </c>
      <c r="L17" s="493">
        <f>AVERAGE(I17:K17)</f>
        <v>425560.42100000003</v>
      </c>
      <c r="M17" s="200">
        <f>M9+M11+M13</f>
        <v>452206.39300000004</v>
      </c>
      <c r="N17" s="200">
        <f t="shared" ref="N17:O17" si="11">N9+N11+N13</f>
        <v>441769.86900000001</v>
      </c>
      <c r="O17" s="200">
        <f t="shared" si="11"/>
        <v>413626.18700000003</v>
      </c>
      <c r="P17" s="538">
        <f>AVERAGE(M17:O17)</f>
        <v>435867.48300000001</v>
      </c>
      <c r="Q17" s="200">
        <f>Q9+Q11+Q13</f>
        <v>488116.58899999998</v>
      </c>
      <c r="R17" s="200">
        <f t="shared" ref="R17:S17" si="12">R9+R11+R13</f>
        <v>468746.21699999995</v>
      </c>
      <c r="S17" s="200">
        <f t="shared" si="12"/>
        <v>472148.54699999996</v>
      </c>
      <c r="T17" s="538">
        <f>AVERAGE(Q17:S17)</f>
        <v>476337.11766666663</v>
      </c>
      <c r="U17" s="558">
        <f>SUM(E17:G17,I17:K17,M17:O17,Q17:S17)</f>
        <v>5244313.9369999999</v>
      </c>
      <c r="V17" s="558">
        <f>AVERAGE(E17:G17,I17:K17,M17:O17,Q18,Q18,Q17,Q17:S17)</f>
        <v>382162.16792385367</v>
      </c>
      <c r="W17" s="234"/>
      <c r="X17" s="234"/>
    </row>
    <row r="18" spans="1:24" s="25" customFormat="1" ht="30" customHeight="1" x14ac:dyDescent="0.25">
      <c r="A18" s="693"/>
      <c r="B18" s="694" t="s">
        <v>32</v>
      </c>
      <c r="C18" s="695" t="s">
        <v>10</v>
      </c>
      <c r="D18" s="686"/>
      <c r="E18" s="521">
        <f>E17/E15</f>
        <v>0.99648550061516894</v>
      </c>
      <c r="F18" s="521">
        <f t="shared" ref="F18:G18" si="13">F17/F15</f>
        <v>0.99645518816913314</v>
      </c>
      <c r="G18" s="521">
        <f t="shared" si="13"/>
        <v>0.99638956964927827</v>
      </c>
      <c r="H18" s="539">
        <f>AVERAGE(E18:G18)</f>
        <v>0.99644341947786008</v>
      </c>
      <c r="I18" s="521">
        <f>I17/I15</f>
        <v>0.99630340673960194</v>
      </c>
      <c r="J18" s="521">
        <f>J17/J15</f>
        <v>0.9962634102839858</v>
      </c>
      <c r="K18" s="521">
        <f>K17/K15</f>
        <v>0.99599339159887046</v>
      </c>
      <c r="L18" s="492">
        <f>SUM(I17:K17)/SUM(I15:K15)</f>
        <v>0.99618608069022496</v>
      </c>
      <c r="M18" s="521">
        <f>M17/M15</f>
        <v>0.99603757537177062</v>
      </c>
      <c r="N18" s="521">
        <f t="shared" ref="N18:O18" si="14">N17/N15</f>
        <v>0.99614456514575433</v>
      </c>
      <c r="O18" s="521">
        <f t="shared" si="14"/>
        <v>0.99651934409490994</v>
      </c>
      <c r="P18" s="539">
        <f>SUM(M17:O17)/SUM(M15:O15)</f>
        <v>0.99622607474442448</v>
      </c>
      <c r="Q18" s="513">
        <f>Q17/Q15</f>
        <v>0.99642890262705097</v>
      </c>
      <c r="R18" s="513">
        <f>R17/R15</f>
        <v>0.99649994506610207</v>
      </c>
      <c r="S18" s="513">
        <f>S17/S15</f>
        <v>0.99668097143456891</v>
      </c>
      <c r="T18" s="539">
        <f>SUM(Q17:S17)/SUM(Q15:S15)</f>
        <v>0.99653547883416083</v>
      </c>
      <c r="U18" s="565" t="s">
        <v>11</v>
      </c>
      <c r="V18" s="566">
        <f>U17/U15</f>
        <v>0.99635156265483493</v>
      </c>
      <c r="W18" s="235"/>
      <c r="X18" s="235"/>
    </row>
    <row r="19" spans="1:24" s="27" customFormat="1" ht="33" customHeight="1" x14ac:dyDescent="0.35">
      <c r="A19" s="696"/>
      <c r="B19" s="697" t="s">
        <v>36</v>
      </c>
      <c r="C19" s="681" t="s">
        <v>8</v>
      </c>
      <c r="D19" s="682" t="s">
        <v>9</v>
      </c>
      <c r="E19" s="495">
        <v>1510.06</v>
      </c>
      <c r="F19" s="495">
        <v>1344.1559999999999</v>
      </c>
      <c r="G19" s="495">
        <v>1540.057</v>
      </c>
      <c r="H19" s="540">
        <f>AVERAGE(E19:G19)</f>
        <v>1464.7576666666666</v>
      </c>
      <c r="I19" s="495">
        <v>1595.819</v>
      </c>
      <c r="J19" s="495">
        <v>1565.258</v>
      </c>
      <c r="K19" s="495">
        <v>1726.7239999999999</v>
      </c>
      <c r="L19" s="494">
        <f>AVERAGE(I19:K19)</f>
        <v>1629.2670000000001</v>
      </c>
      <c r="M19" s="600">
        <v>1798.962</v>
      </c>
      <c r="N19" s="516">
        <v>1709.807</v>
      </c>
      <c r="O19" s="516">
        <v>1444.7190000000001</v>
      </c>
      <c r="P19" s="540">
        <f>AVERAGE(M19:O19)</f>
        <v>1651.1626666666668</v>
      </c>
      <c r="Q19" s="495">
        <v>1749.3589999999999</v>
      </c>
      <c r="R19" s="495">
        <v>1646.4</v>
      </c>
      <c r="S19" s="495">
        <v>1572.2929999999999</v>
      </c>
      <c r="T19" s="540">
        <f>AVERAGE(Q19:S19)</f>
        <v>1656.0173333333332</v>
      </c>
      <c r="U19" s="562">
        <f>SUM(E19:G19,I19:K19,M19:O19,Q19:S19)</f>
        <v>19203.614000000005</v>
      </c>
      <c r="V19" s="562">
        <f>AVERAGE(E19:G19,I19:K19,M19:O19,Q19:S19)</f>
        <v>1600.3011666666671</v>
      </c>
      <c r="W19" s="234"/>
      <c r="X19" s="234"/>
    </row>
    <row r="20" spans="1:24" s="25" customFormat="1" ht="30" customHeight="1" x14ac:dyDescent="0.25">
      <c r="A20" s="698"/>
      <c r="B20" s="699" t="s">
        <v>31</v>
      </c>
      <c r="C20" s="700" t="s">
        <v>10</v>
      </c>
      <c r="D20" s="684"/>
      <c r="E20" s="519">
        <f>E19/E15</f>
        <v>3.5144993848311096E-3</v>
      </c>
      <c r="F20" s="519">
        <f t="shared" ref="F20:G20" si="15">F19/F15</f>
        <v>3.5448118308668447E-3</v>
      </c>
      <c r="G20" s="519">
        <f t="shared" si="15"/>
        <v>3.6104303507217828E-3</v>
      </c>
      <c r="H20" s="541">
        <f>AVERAGE(E20:G20)</f>
        <v>3.5565805221399126E-3</v>
      </c>
      <c r="I20" s="519">
        <f>I19/I15</f>
        <v>3.6965932603980393E-3</v>
      </c>
      <c r="J20" s="519">
        <f>J19/J15</f>
        <v>3.736589716014236E-3</v>
      </c>
      <c r="K20" s="519">
        <f>K19/K15</f>
        <v>4.0066084011296252E-3</v>
      </c>
      <c r="L20" s="491">
        <f>SUM(I19:K19)/SUM(I15:K15)</f>
        <v>3.8139193097750995E-3</v>
      </c>
      <c r="M20" s="519">
        <f>M19/M15</f>
        <v>3.9624246282293296E-3</v>
      </c>
      <c r="N20" s="519">
        <f t="shared" ref="N20:O20" si="16">N19/N15</f>
        <v>3.8554348542457224E-3</v>
      </c>
      <c r="O20" s="519">
        <f t="shared" si="16"/>
        <v>3.4806559050901053E-3</v>
      </c>
      <c r="P20" s="541">
        <f>SUM(M19:O19)/SUM(M15:O15)</f>
        <v>3.7739252555756032E-3</v>
      </c>
      <c r="Q20" s="519">
        <f>Q19/Q15</f>
        <v>3.5710973729490584E-3</v>
      </c>
      <c r="R20" s="519">
        <f>R19/R15</f>
        <v>3.5000549338979107E-3</v>
      </c>
      <c r="S20" s="519">
        <f>S19/S15</f>
        <v>3.3190285654310669E-3</v>
      </c>
      <c r="T20" s="541">
        <f>SUM(Q19:S19)/SUM(Q15:S15)</f>
        <v>3.4645211658391986E-3</v>
      </c>
      <c r="U20" s="570" t="s">
        <v>11</v>
      </c>
      <c r="V20" s="564">
        <f>U19/U15</f>
        <v>3.6484373451650346E-3</v>
      </c>
      <c r="W20" s="235"/>
      <c r="X20" s="235"/>
    </row>
    <row r="21" spans="1:24" ht="33" customHeight="1" x14ac:dyDescent="0.25">
      <c r="A21" s="671" t="s">
        <v>24</v>
      </c>
      <c r="B21" s="701" t="s">
        <v>37</v>
      </c>
      <c r="C21" s="701" t="s">
        <v>19</v>
      </c>
      <c r="D21" s="702" t="s">
        <v>16</v>
      </c>
      <c r="E21" s="218">
        <f>E23+E25</f>
        <v>153230.38499999998</v>
      </c>
      <c r="F21" s="218">
        <f t="shared" ref="F21:G21" si="17">F23+F25</f>
        <v>145103.37699999998</v>
      </c>
      <c r="G21" s="218">
        <f t="shared" si="17"/>
        <v>160079.736</v>
      </c>
      <c r="H21" s="544">
        <f>AVERAGE(E21:G21)</f>
        <v>152804.49933333334</v>
      </c>
      <c r="I21" s="218">
        <f>I23+I25</f>
        <v>154091.59999999998</v>
      </c>
      <c r="J21" s="218">
        <f>J23+J25</f>
        <v>149923.747</v>
      </c>
      <c r="K21" s="218">
        <f>K23+K25</f>
        <v>153297.82399999999</v>
      </c>
      <c r="L21" s="499">
        <f>AVERAGE(I21:K21)</f>
        <v>152437.72366666666</v>
      </c>
      <c r="M21" s="218">
        <f>M23+M25</f>
        <v>155951.962</v>
      </c>
      <c r="N21" s="218">
        <f t="shared" ref="N21:O21" si="18">N23+N25</f>
        <v>148656.902</v>
      </c>
      <c r="O21" s="218">
        <f t="shared" si="18"/>
        <v>144909.05000000002</v>
      </c>
      <c r="P21" s="544">
        <f>AVERAGE(M21:O21)</f>
        <v>149839.30466666666</v>
      </c>
      <c r="Q21" s="531">
        <f>Q23+Q25</f>
        <v>166268.82</v>
      </c>
      <c r="R21" s="531">
        <f>R23+R25</f>
        <v>153320.77300000002</v>
      </c>
      <c r="S21" s="531">
        <f>S23+S25</f>
        <v>158808.25</v>
      </c>
      <c r="T21" s="544">
        <f>AVERAGE(Q21:S21)</f>
        <v>159465.94766666667</v>
      </c>
      <c r="U21" s="571">
        <f>SUM(E21:G21,I21:K21,M21:O21,Q21:S21)</f>
        <v>1843642.4260000002</v>
      </c>
      <c r="V21" s="572">
        <f>AVERAGE(E21:G21,I21:K21,M21:O21,Q21:S21)</f>
        <v>153636.86883333334</v>
      </c>
      <c r="W21" s="233"/>
      <c r="X21" s="233"/>
    </row>
    <row r="22" spans="1:24" ht="30" customHeight="1" x14ac:dyDescent="0.25">
      <c r="A22" s="671"/>
      <c r="B22" s="703" t="s">
        <v>14</v>
      </c>
      <c r="C22" s="703" t="s">
        <v>38</v>
      </c>
      <c r="D22" s="704" t="s">
        <v>16</v>
      </c>
      <c r="E22" s="221">
        <f>E21/E7</f>
        <v>6965.017499999999</v>
      </c>
      <c r="F22" s="221">
        <f>F21/F7</f>
        <v>7255.1688499999991</v>
      </c>
      <c r="G22" s="221">
        <f>G21/G7</f>
        <v>7276.3516363636363</v>
      </c>
      <c r="H22" s="545">
        <f>SUM(E21:G21)/SUM(E7:G7)</f>
        <v>7162.7109062500003</v>
      </c>
      <c r="I22" s="221">
        <f>I21/I7</f>
        <v>7704.579999999999</v>
      </c>
      <c r="J22" s="221">
        <f>J21/J7</f>
        <v>7496.1873500000002</v>
      </c>
      <c r="K22" s="221">
        <f>K21/K7</f>
        <v>7299.8963809523802</v>
      </c>
      <c r="L22" s="551">
        <f>SUM(I21:K21)/SUM(I7:K7)</f>
        <v>7496.9372295081967</v>
      </c>
      <c r="M22" s="221">
        <f>M21/M7</f>
        <v>7088.7255454545457</v>
      </c>
      <c r="N22" s="221">
        <f t="shared" ref="N22:O22" si="19">N21/N7</f>
        <v>6757.1319090909092</v>
      </c>
      <c r="O22" s="221">
        <f t="shared" si="19"/>
        <v>7245.4525000000012</v>
      </c>
      <c r="P22" s="545">
        <f>SUM(M21:O21)/SUM(M7:O7)</f>
        <v>7023.7174062499998</v>
      </c>
      <c r="Q22" s="532">
        <f>Q21/Q7</f>
        <v>7229.0791304347831</v>
      </c>
      <c r="R22" s="532">
        <f>R21/R7</f>
        <v>7300.9891904761917</v>
      </c>
      <c r="S22" s="532">
        <f>S21/S7</f>
        <v>8358.3289473684217</v>
      </c>
      <c r="T22" s="545">
        <f>SUM(Q21:S21)/SUM(Q7:S7)</f>
        <v>7593.6165555555554</v>
      </c>
      <c r="U22" s="573" t="s">
        <v>11</v>
      </c>
      <c r="V22" s="574">
        <f>U21/U7</f>
        <v>7316.0413730158734</v>
      </c>
      <c r="W22" s="233"/>
      <c r="X22" s="233"/>
    </row>
    <row r="23" spans="1:24" s="27" customFormat="1" ht="33" customHeight="1" x14ac:dyDescent="0.35">
      <c r="A23" s="696"/>
      <c r="B23" s="697" t="s">
        <v>36</v>
      </c>
      <c r="C23" s="681" t="s">
        <v>19</v>
      </c>
      <c r="D23" s="682" t="s">
        <v>16</v>
      </c>
      <c r="E23" s="495">
        <v>151325.68299999999</v>
      </c>
      <c r="F23" s="495">
        <v>143370.28599999999</v>
      </c>
      <c r="G23" s="495">
        <v>158266.663</v>
      </c>
      <c r="H23" s="540">
        <f>AVERAGE(E23:G23)</f>
        <v>150987.54399999999</v>
      </c>
      <c r="I23" s="495">
        <v>152295.50399999999</v>
      </c>
      <c r="J23" s="495">
        <v>148145.44899999999</v>
      </c>
      <c r="K23" s="495">
        <v>151489.867</v>
      </c>
      <c r="L23" s="494">
        <f>AVERAGE(I23:K23)</f>
        <v>150643.60666666666</v>
      </c>
      <c r="M23" s="516">
        <v>154064.83300000001</v>
      </c>
      <c r="N23" s="516">
        <v>146862.52900000001</v>
      </c>
      <c r="O23" s="516">
        <v>143229.35800000001</v>
      </c>
      <c r="P23" s="540">
        <f>+AVERAGE(M23:O23)</f>
        <v>148052.24000000002</v>
      </c>
      <c r="Q23" s="495">
        <v>164376.429</v>
      </c>
      <c r="R23" s="495">
        <v>151602.16500000001</v>
      </c>
      <c r="S23" s="495">
        <v>156998.386</v>
      </c>
      <c r="T23" s="540">
        <f>+AVERAGE(Q23:S23)</f>
        <v>157658.99333333335</v>
      </c>
      <c r="U23" s="562">
        <f>SUM(E23:G23,I23:K23,M23:O23,Q23:S23)</f>
        <v>1822027.152</v>
      </c>
      <c r="V23" s="562">
        <f>AVERAGE(E23:G23,I23:K23,L23:O24)</f>
        <v>107121.26650960943</v>
      </c>
      <c r="W23" s="234"/>
      <c r="X23" s="234"/>
    </row>
    <row r="24" spans="1:24" s="25" customFormat="1" ht="30" customHeight="1" x14ac:dyDescent="0.25">
      <c r="A24" s="698"/>
      <c r="B24" s="699" t="s">
        <v>32</v>
      </c>
      <c r="C24" s="700" t="s">
        <v>21</v>
      </c>
      <c r="D24" s="684"/>
      <c r="E24" s="519">
        <f>E23/E21</f>
        <v>0.98756968469406381</v>
      </c>
      <c r="F24" s="519">
        <f t="shared" ref="F24:G24" si="20">F23/F21</f>
        <v>0.98805616357226489</v>
      </c>
      <c r="G24" s="519">
        <f t="shared" si="20"/>
        <v>0.98867393809295134</v>
      </c>
      <c r="H24" s="541">
        <f>SUM(E23:G23)/SUM(E21:G21)</f>
        <v>0.98810928119747465</v>
      </c>
      <c r="I24" s="519">
        <f>I23/I21</f>
        <v>0.98834397202702817</v>
      </c>
      <c r="J24" s="519">
        <f>J23/J21</f>
        <v>0.98813865024331327</v>
      </c>
      <c r="K24" s="519">
        <f>K23/K21</f>
        <v>0.98820624485837449</v>
      </c>
      <c r="L24" s="491">
        <f>SUM(I23:K23)/SUM(I21:K21)</f>
        <v>0.98823049205377023</v>
      </c>
      <c r="M24" s="519">
        <f>M23/M21</f>
        <v>0.98789929298869616</v>
      </c>
      <c r="N24" s="519">
        <f t="shared" ref="N24:O24" si="21">N23/N21</f>
        <v>0.9879294336431147</v>
      </c>
      <c r="O24" s="519">
        <f t="shared" si="21"/>
        <v>0.98840864666492523</v>
      </c>
      <c r="P24" s="541">
        <f>SUM(M23:O23)/SUM(M21:O21)</f>
        <v>0.98807345862527751</v>
      </c>
      <c r="Q24" s="519">
        <f>Q23/Q21</f>
        <v>0.98861848541416242</v>
      </c>
      <c r="R24" s="519">
        <f>R23/R21</f>
        <v>0.98879076874990701</v>
      </c>
      <c r="S24" s="519">
        <f>S23/S21</f>
        <v>0.98860346361098994</v>
      </c>
      <c r="T24" s="541">
        <f>SUM(Q23:S23)/SUM(Q21:S21)</f>
        <v>0.98866871354183772</v>
      </c>
      <c r="U24" s="575" t="s">
        <v>11</v>
      </c>
      <c r="V24" s="564">
        <f>U23/U21</f>
        <v>0.98827577750697726</v>
      </c>
      <c r="W24" s="235"/>
      <c r="X24" s="236"/>
    </row>
    <row r="25" spans="1:24" s="27" customFormat="1" ht="33" customHeight="1" x14ac:dyDescent="0.35">
      <c r="A25" s="691"/>
      <c r="B25" s="692" t="s">
        <v>36</v>
      </c>
      <c r="C25" s="676" t="s">
        <v>19</v>
      </c>
      <c r="D25" s="677" t="s">
        <v>16</v>
      </c>
      <c r="E25" s="444">
        <v>1904.702</v>
      </c>
      <c r="F25" s="444">
        <v>1733.0909999999999</v>
      </c>
      <c r="G25" s="444">
        <v>1813.0730000000001</v>
      </c>
      <c r="H25" s="538">
        <f>AVERAGE(E25:G25)</f>
        <v>1816.9553333333333</v>
      </c>
      <c r="I25" s="444">
        <v>1796.096</v>
      </c>
      <c r="J25" s="444">
        <v>1778.298</v>
      </c>
      <c r="K25" s="444">
        <v>1807.9570000000001</v>
      </c>
      <c r="L25" s="493">
        <f>AVERAGE(I25:K25)</f>
        <v>1794.1170000000002</v>
      </c>
      <c r="M25" s="444">
        <v>1887.1289999999999</v>
      </c>
      <c r="N25" s="200">
        <v>1794.373</v>
      </c>
      <c r="O25" s="200">
        <v>1679.692</v>
      </c>
      <c r="P25" s="538">
        <f>AVERAGE(M25:O25)</f>
        <v>1787.0646666666664</v>
      </c>
      <c r="Q25" s="508">
        <v>1892.3910000000001</v>
      </c>
      <c r="R25" s="508">
        <v>1718.6079999999999</v>
      </c>
      <c r="S25" s="789">
        <v>1809.864</v>
      </c>
      <c r="T25" s="538">
        <f>AVERAGE(Q25:S25)</f>
        <v>1806.9543333333331</v>
      </c>
      <c r="U25" s="558">
        <f>SUM(E25:G25,I25:K25,M25:O25,Q25:S25)</f>
        <v>21615.274000000001</v>
      </c>
      <c r="V25" s="576">
        <f>AVERAGE(E25:G25,I25:K25,M25:O25,Q25:S25)</f>
        <v>1801.2728333333334</v>
      </c>
      <c r="W25" s="234"/>
      <c r="X25" s="234"/>
    </row>
    <row r="26" spans="1:24" s="25" customFormat="1" ht="30" customHeight="1" x14ac:dyDescent="0.25">
      <c r="A26" s="693"/>
      <c r="B26" s="694" t="s">
        <v>31</v>
      </c>
      <c r="C26" s="695" t="s">
        <v>21</v>
      </c>
      <c r="D26" s="686"/>
      <c r="E26" s="521">
        <f>E25/E21</f>
        <v>1.2430315305936223E-2</v>
      </c>
      <c r="F26" s="521">
        <f t="shared" ref="F26:G26" si="22">F25/F21</f>
        <v>1.1943836427735242E-2</v>
      </c>
      <c r="G26" s="521">
        <f t="shared" si="22"/>
        <v>1.1326061907048622E-2</v>
      </c>
      <c r="H26" s="539">
        <f>SUM(E25:G25)/SUM(E21:G21)</f>
        <v>1.1890718802525313E-2</v>
      </c>
      <c r="I26" s="521">
        <f>I25/I21</f>
        <v>1.1656027972971923E-2</v>
      </c>
      <c r="J26" s="521">
        <f>J25/J21</f>
        <v>1.1861349756686644E-2</v>
      </c>
      <c r="K26" s="521">
        <f>K25/K21</f>
        <v>1.1793755141625496E-2</v>
      </c>
      <c r="L26" s="492">
        <f>SUM(I25:K25)/SUM(I21:K21)</f>
        <v>1.1769507946229699E-2</v>
      </c>
      <c r="M26" s="521">
        <f>M25/M21</f>
        <v>1.2100707011303903E-2</v>
      </c>
      <c r="N26" s="521">
        <f t="shared" ref="N26:O26" si="23">N25/N21</f>
        <v>1.2070566356885333E-2</v>
      </c>
      <c r="O26" s="521">
        <f t="shared" si="23"/>
        <v>1.1591353335074654E-2</v>
      </c>
      <c r="P26" s="539">
        <f>SUM(M25:O25)/SUM(M21:O21)</f>
        <v>1.1926541374722609E-2</v>
      </c>
      <c r="Q26" s="513">
        <f>Q25/Q21</f>
        <v>1.1381514585837561E-2</v>
      </c>
      <c r="R26" s="513">
        <f>R25/R21</f>
        <v>1.12092312500929E-2</v>
      </c>
      <c r="S26" s="513">
        <f>S25/S21</f>
        <v>1.1396536389010017E-2</v>
      </c>
      <c r="T26" s="539">
        <f>SUM(Q25:S25)/SUM(Q21:S21)</f>
        <v>1.1331286458162395E-2</v>
      </c>
      <c r="U26" s="577" t="s">
        <v>11</v>
      </c>
      <c r="V26" s="565">
        <f>U25/U21</f>
        <v>1.1724222493022624E-2</v>
      </c>
      <c r="W26" s="235"/>
      <c r="X26" s="235"/>
    </row>
    <row r="27" spans="1:24" ht="33" customHeight="1" x14ac:dyDescent="0.25">
      <c r="A27" s="673" t="s">
        <v>33</v>
      </c>
      <c r="B27" s="687" t="s">
        <v>34</v>
      </c>
      <c r="C27" s="689" t="s">
        <v>18</v>
      </c>
      <c r="D27" s="690"/>
      <c r="E27" s="533">
        <v>1542</v>
      </c>
      <c r="F27" s="533">
        <v>1542</v>
      </c>
      <c r="G27" s="533">
        <v>1542</v>
      </c>
      <c r="H27" s="546">
        <f>AVERAGE(E27:G27)</f>
        <v>1542</v>
      </c>
      <c r="I27" s="533">
        <v>1542</v>
      </c>
      <c r="J27" s="533">
        <v>1557</v>
      </c>
      <c r="K27" s="533">
        <v>1558</v>
      </c>
      <c r="L27" s="552">
        <f>AVERAGE(I27:K27)</f>
        <v>1552.3333333333333</v>
      </c>
      <c r="M27" s="533">
        <v>1558</v>
      </c>
      <c r="N27" s="533">
        <v>1558</v>
      </c>
      <c r="O27" s="533">
        <v>1724</v>
      </c>
      <c r="P27" s="546">
        <f>AVERAGE(M27:O27)</f>
        <v>1613.3333333333333</v>
      </c>
      <c r="Q27" s="534">
        <v>1778</v>
      </c>
      <c r="R27" s="534">
        <v>1778</v>
      </c>
      <c r="S27" s="534">
        <v>1778</v>
      </c>
      <c r="T27" s="546">
        <f>AVERAGE(Q27:S27)</f>
        <v>1778</v>
      </c>
      <c r="U27" s="578" t="s">
        <v>11</v>
      </c>
      <c r="V27" s="579">
        <f>AVERAGE(E27:G27,I27:K27,M27:O27,Q27:S27)</f>
        <v>1621.4166666666667</v>
      </c>
      <c r="W27" s="233"/>
      <c r="X27" s="233"/>
    </row>
    <row r="28" spans="1:24" ht="30" customHeight="1" x14ac:dyDescent="0.25">
      <c r="A28" s="705"/>
      <c r="B28" s="705"/>
      <c r="C28" s="701" t="s">
        <v>19</v>
      </c>
      <c r="D28" s="702" t="s">
        <v>16</v>
      </c>
      <c r="E28" s="218">
        <f>E21</f>
        <v>153230.38499999998</v>
      </c>
      <c r="F28" s="218">
        <f t="shared" ref="F28:G28" si="24">F21</f>
        <v>145103.37699999998</v>
      </c>
      <c r="G28" s="218">
        <f t="shared" si="24"/>
        <v>160079.736</v>
      </c>
      <c r="H28" s="544">
        <f>AVERAGE(E28:G28)</f>
        <v>152804.49933333334</v>
      </c>
      <c r="I28" s="218">
        <f>I21</f>
        <v>154091.59999999998</v>
      </c>
      <c r="J28" s="218">
        <f>J21</f>
        <v>149923.747</v>
      </c>
      <c r="K28" s="218">
        <f>K21</f>
        <v>153297.82399999999</v>
      </c>
      <c r="L28" s="499">
        <f>AVERAGE(I28:J28)</f>
        <v>152007.67349999998</v>
      </c>
      <c r="M28" s="218">
        <f>M21</f>
        <v>155951.962</v>
      </c>
      <c r="N28" s="218">
        <f t="shared" ref="N28:O28" si="25">N21</f>
        <v>148656.902</v>
      </c>
      <c r="O28" s="218">
        <f t="shared" si="25"/>
        <v>144909.05000000002</v>
      </c>
      <c r="P28" s="544">
        <f>AVERAGE(M28:O28)</f>
        <v>149839.30466666666</v>
      </c>
      <c r="Q28" s="531">
        <f>Q21</f>
        <v>166268.82</v>
      </c>
      <c r="R28" s="531">
        <f>R21</f>
        <v>153320.77300000002</v>
      </c>
      <c r="S28" s="531">
        <f>S21</f>
        <v>158808.25</v>
      </c>
      <c r="T28" s="544">
        <f>AVERAGE(Q28:S28)</f>
        <v>159465.94766666667</v>
      </c>
      <c r="U28" s="571">
        <f>SUM(E28:G28,I28:K28,M28:O28,Q28:S28)</f>
        <v>1843642.4260000002</v>
      </c>
      <c r="V28" s="571">
        <f>AVERAGE(E28:G28,I28:K28,M28:O28,Q28:S28)</f>
        <v>153636.86883333334</v>
      </c>
      <c r="W28" s="233"/>
      <c r="X28" s="233"/>
    </row>
    <row r="29" spans="1:24" ht="30" customHeight="1" x14ac:dyDescent="0.25">
      <c r="A29" s="706"/>
      <c r="B29" s="707"/>
      <c r="C29" s="689" t="s">
        <v>20</v>
      </c>
      <c r="D29" s="690" t="s">
        <v>16</v>
      </c>
      <c r="E29" s="496">
        <f>E28/E7</f>
        <v>6965.017499999999</v>
      </c>
      <c r="F29" s="496">
        <f t="shared" ref="F29:G29" si="26">F28/F7</f>
        <v>7255.1688499999991</v>
      </c>
      <c r="G29" s="496">
        <f t="shared" si="26"/>
        <v>7276.3516363636363</v>
      </c>
      <c r="H29" s="543">
        <f>SUM(E28:G28)/SUM(E7:G7)</f>
        <v>7162.7109062500003</v>
      </c>
      <c r="I29" s="496">
        <f>I28/I7</f>
        <v>7704.579999999999</v>
      </c>
      <c r="J29" s="496">
        <f>J28/J7</f>
        <v>7496.1873500000002</v>
      </c>
      <c r="K29" s="496">
        <f>K28/K7</f>
        <v>7299.8963809523802</v>
      </c>
      <c r="L29" s="497">
        <f>SUM(I28:K28)/SUM(I7:K7)</f>
        <v>7496.9372295081967</v>
      </c>
      <c r="M29" s="496">
        <f>M28/M7</f>
        <v>7088.7255454545457</v>
      </c>
      <c r="N29" s="496">
        <f t="shared" ref="N29:O29" si="27">N28/N7</f>
        <v>6757.1319090909092</v>
      </c>
      <c r="O29" s="496">
        <f t="shared" si="27"/>
        <v>7245.4525000000012</v>
      </c>
      <c r="P29" s="543">
        <f>SUM(M28:O28)/SUM(M7:O7)</f>
        <v>7023.7174062499998</v>
      </c>
      <c r="Q29" s="496">
        <f>Q28/Q7</f>
        <v>7229.0791304347831</v>
      </c>
      <c r="R29" s="496">
        <f>R28/R7</f>
        <v>7300.9891904761917</v>
      </c>
      <c r="S29" s="496">
        <f>S28/S7</f>
        <v>8358.3289473684217</v>
      </c>
      <c r="T29" s="543">
        <f>SUM(Q28:S28)/SUM(Q7:S7)</f>
        <v>7593.6165555555554</v>
      </c>
      <c r="U29" s="568" t="s">
        <v>11</v>
      </c>
      <c r="V29" s="569">
        <f>U28/U7</f>
        <v>7316.0413730158734</v>
      </c>
      <c r="W29" s="233"/>
      <c r="X29" s="233"/>
    </row>
    <row r="30" spans="1:24" ht="30" customHeight="1" x14ac:dyDescent="0.25">
      <c r="A30" s="705"/>
      <c r="B30" s="705"/>
      <c r="C30" s="703" t="s">
        <v>22</v>
      </c>
      <c r="D30" s="704" t="s">
        <v>219</v>
      </c>
      <c r="E30" s="221">
        <f>E31/E28*1000</f>
        <v>2804.0505543335944</v>
      </c>
      <c r="F30" s="221">
        <f t="shared" ref="F30:G30" si="28">F31/F28*1000</f>
        <v>2613.238022709837</v>
      </c>
      <c r="G30" s="221">
        <f t="shared" si="28"/>
        <v>2664.6579239735879</v>
      </c>
      <c r="H30" s="545">
        <f>SUM(E31:G31)/SUM(E28:G28)*1000</f>
        <v>2694.9754978637211</v>
      </c>
      <c r="I30" s="221">
        <f>I31/I28*1000</f>
        <v>2801.5798135654391</v>
      </c>
      <c r="J30" s="221">
        <f>J31/J28*1000</f>
        <v>2794.0880639809511</v>
      </c>
      <c r="K30" s="221">
        <f>K31/K28*1000</f>
        <v>2811.3184176704299</v>
      </c>
      <c r="L30" s="551">
        <f>SUM(I31:K31)/SUM(I28:K28)*1000</f>
        <v>2802.3882653491301</v>
      </c>
      <c r="M30" s="221">
        <f>M31/M28*1000</f>
        <v>2911.1871962213595</v>
      </c>
      <c r="N30" s="221">
        <f>N31/N28*1000</f>
        <v>2983.2430922043563</v>
      </c>
      <c r="O30" s="221">
        <f>O31/O28*1000</f>
        <v>2864.3546141528082</v>
      </c>
      <c r="P30" s="545">
        <f>SUM(M31:O31)/SUM(M28:O28)*1000</f>
        <v>2919.919086917635</v>
      </c>
      <c r="Q30" s="532">
        <f>Q31/Q28*1000</f>
        <v>2946.2285712979738</v>
      </c>
      <c r="R30" s="532">
        <f>R31/R28*1000</f>
        <v>3068.0292552399269</v>
      </c>
      <c r="S30" s="532">
        <f>S31/S28*1000</f>
        <v>2982.9737434925451</v>
      </c>
      <c r="T30" s="545">
        <f>SUM(Q31:S31)/SUM(Q28:S28)*1000</f>
        <v>2997.4621039418021</v>
      </c>
      <c r="U30" s="664" t="s">
        <v>11</v>
      </c>
      <c r="V30" s="603">
        <f>U31/U28*1000</f>
        <v>2854.9557532258696</v>
      </c>
      <c r="W30" s="233"/>
      <c r="X30" s="233"/>
    </row>
    <row r="31" spans="1:24" ht="30" customHeight="1" x14ac:dyDescent="0.25">
      <c r="A31" s="706"/>
      <c r="B31" s="707"/>
      <c r="C31" s="687" t="s">
        <v>26</v>
      </c>
      <c r="D31" s="688" t="s">
        <v>9</v>
      </c>
      <c r="E31" s="524">
        <f>E15</f>
        <v>429665.74600000004</v>
      </c>
      <c r="F31" s="524">
        <f t="shared" ref="F31:G31" si="29">F15</f>
        <v>379189.66200000001</v>
      </c>
      <c r="G31" s="524">
        <f t="shared" si="29"/>
        <v>426557.73700000002</v>
      </c>
      <c r="H31" s="542">
        <f>AVERAGE(E31:G31)</f>
        <v>411804.38166666665</v>
      </c>
      <c r="I31" s="524">
        <f>I15</f>
        <v>431699.91600000008</v>
      </c>
      <c r="J31" s="524">
        <f>J15</f>
        <v>418900.15199999994</v>
      </c>
      <c r="K31" s="524">
        <f>K15</f>
        <v>430968.99599999998</v>
      </c>
      <c r="L31" s="550">
        <f>AVERAGE(I31:K31)</f>
        <v>427189.68800000002</v>
      </c>
      <c r="M31" s="524">
        <f>M15</f>
        <v>454005.35500000004</v>
      </c>
      <c r="N31" s="524">
        <f t="shared" ref="N31:O31" si="30">N15</f>
        <v>443479.67599999998</v>
      </c>
      <c r="O31" s="524">
        <f t="shared" si="30"/>
        <v>415070.90600000002</v>
      </c>
      <c r="P31" s="542">
        <f>AVERAGE(M31:O31)</f>
        <v>437518.64566666662</v>
      </c>
      <c r="Q31" s="524">
        <f>Q15</f>
        <v>489865.94799999997</v>
      </c>
      <c r="R31" s="524">
        <f>R15</f>
        <v>470392.61699999997</v>
      </c>
      <c r="S31" s="524">
        <f>S15</f>
        <v>473720.83999999997</v>
      </c>
      <c r="T31" s="542">
        <f>AVERAGE(Q31:S31)</f>
        <v>477993.13499999995</v>
      </c>
      <c r="U31" s="567">
        <f>SUM(E31:G31,I31:K31,M31:O31,Q31:S31)</f>
        <v>5263517.551</v>
      </c>
      <c r="V31" s="567">
        <f>AVERAGE(E31:G31,I31:K31,M31:O31,Q31:S31)</f>
        <v>438626.46258333331</v>
      </c>
      <c r="W31" s="233"/>
      <c r="X31" s="233"/>
    </row>
    <row r="32" spans="1:24" ht="33" customHeight="1" x14ac:dyDescent="0.25">
      <c r="A32" s="708"/>
      <c r="B32" s="708"/>
      <c r="C32" s="709" t="s">
        <v>20</v>
      </c>
      <c r="D32" s="710" t="s">
        <v>9</v>
      </c>
      <c r="E32" s="770">
        <f>E31/E7</f>
        <v>19530.261181818183</v>
      </c>
      <c r="F32" s="771">
        <f t="shared" ref="F32:G32" si="31">F31/F7</f>
        <v>18959.483100000001</v>
      </c>
      <c r="G32" s="771">
        <f t="shared" si="31"/>
        <v>19388.988045454545</v>
      </c>
      <c r="H32" s="772">
        <f>SUM(E31:G31)/SUM(E7:G7)</f>
        <v>19303.330390625</v>
      </c>
      <c r="I32" s="771">
        <f>I31/I7</f>
        <v>21584.995800000004</v>
      </c>
      <c r="J32" s="771">
        <f>J31/J7</f>
        <v>20945.007599999997</v>
      </c>
      <c r="K32" s="771">
        <f>K31/K7</f>
        <v>20522.333142857144</v>
      </c>
      <c r="L32" s="773">
        <f>SUM(I31:K31)/SUM(I7:K7)</f>
        <v>21009.328918032788</v>
      </c>
      <c r="M32" s="771">
        <f>M31/M7</f>
        <v>20636.607045454548</v>
      </c>
      <c r="N32" s="771">
        <f>N31/N7</f>
        <v>20158.16709090909</v>
      </c>
      <c r="O32" s="771">
        <f>O31/O7</f>
        <v>20753.545300000002</v>
      </c>
      <c r="P32" s="772">
        <f>SUM(M31:O31)/SUM(M7:O7)</f>
        <v>20508.686515624999</v>
      </c>
      <c r="Q32" s="774">
        <f>Q31/Q7</f>
        <v>21298.519478260867</v>
      </c>
      <c r="R32" s="774">
        <f>R31/R7</f>
        <v>22399.648428571429</v>
      </c>
      <c r="S32" s="774">
        <f>S31/S7</f>
        <v>24932.675789473684</v>
      </c>
      <c r="T32" s="772">
        <f>SUM(Q31:S31)/SUM(Q7:S7)</f>
        <v>22761.577857142853</v>
      </c>
      <c r="U32" s="775" t="s">
        <v>11</v>
      </c>
      <c r="V32" s="776">
        <f>U31/U7</f>
        <v>20886.974408730159</v>
      </c>
      <c r="W32" s="233"/>
      <c r="X32" s="233"/>
    </row>
    <row r="33" spans="1:24" s="135" customFormat="1" ht="30" customHeight="1" x14ac:dyDescent="0.25">
      <c r="A33" s="325"/>
      <c r="B33" s="119"/>
      <c r="C33" s="2"/>
      <c r="D33" s="326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50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490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500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7">
    <mergeCell ref="B13:B14"/>
    <mergeCell ref="A3:V3"/>
    <mergeCell ref="A4:V4"/>
    <mergeCell ref="B5:C6"/>
    <mergeCell ref="B7:C7"/>
    <mergeCell ref="B8:C8"/>
    <mergeCell ref="B11:B12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43" orientation="landscape" r:id="rId1"/>
  <headerFooter alignWithMargins="0"/>
  <ignoredErrors>
    <ignoredError sqref="H10:H32 L20:L32 P16:P32 T16:T26 V14:V26 V10:V12 T10:T14 P10:P15 L10:L1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2057"/>
  <sheetViews>
    <sheetView view="pageBreakPreview" topLeftCell="A5" zoomScale="70" zoomScaleNormal="60" zoomScaleSheetLayoutView="70" workbookViewId="0">
      <pane xSplit="4" ySplit="2" topLeftCell="J15" activePane="bottomRight" state="frozen"/>
      <selection activeCell="A5" sqref="A5"/>
      <selection pane="topRight" activeCell="E5" sqref="E5"/>
      <selection pane="bottomLeft" activeCell="A7" sqref="A7"/>
      <selection pane="bottomRight" activeCell="J25" sqref="J25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0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6.699218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  <c r="K2" s="588"/>
    </row>
    <row r="3" spans="1:24" ht="19.5" customHeight="1" x14ac:dyDescent="0.4">
      <c r="A3" s="958" t="s">
        <v>42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</row>
    <row r="4" spans="1:24" s="134" customFormat="1" ht="24" customHeight="1" x14ac:dyDescent="0.25">
      <c r="A4" s="959" t="s">
        <v>369</v>
      </c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</row>
    <row r="5" spans="1:24" ht="42" customHeight="1" thickBot="1" x14ac:dyDescent="0.45">
      <c r="A5" s="662" t="s">
        <v>1</v>
      </c>
      <c r="B5" s="973" t="s">
        <v>2</v>
      </c>
      <c r="C5" s="974"/>
      <c r="D5" s="665" t="s">
        <v>3</v>
      </c>
      <c r="E5" s="666" t="s">
        <v>353</v>
      </c>
      <c r="F5" s="666" t="s">
        <v>354</v>
      </c>
      <c r="G5" s="666" t="s">
        <v>355</v>
      </c>
      <c r="H5" s="666" t="s">
        <v>356</v>
      </c>
      <c r="I5" s="666" t="s">
        <v>357</v>
      </c>
      <c r="J5" s="666" t="s">
        <v>358</v>
      </c>
      <c r="K5" s="666" t="s">
        <v>359</v>
      </c>
      <c r="L5" s="666" t="s">
        <v>360</v>
      </c>
      <c r="M5" s="666" t="s">
        <v>361</v>
      </c>
      <c r="N5" s="666" t="s">
        <v>362</v>
      </c>
      <c r="O5" s="666" t="s">
        <v>363</v>
      </c>
      <c r="P5" s="666" t="s">
        <v>364</v>
      </c>
      <c r="Q5" s="666" t="s">
        <v>365</v>
      </c>
      <c r="R5" s="666" t="s">
        <v>366</v>
      </c>
      <c r="S5" s="666" t="s">
        <v>367</v>
      </c>
      <c r="T5" s="666" t="s">
        <v>368</v>
      </c>
      <c r="U5" s="667" t="s">
        <v>46</v>
      </c>
      <c r="V5" s="668" t="s">
        <v>58</v>
      </c>
      <c r="W5" s="233"/>
      <c r="X5" s="233"/>
    </row>
    <row r="6" spans="1:24" ht="44.25" customHeight="1" thickTop="1" x14ac:dyDescent="0.35">
      <c r="A6" s="663"/>
      <c r="B6" s="975"/>
      <c r="C6" s="976"/>
      <c r="D6" s="590" t="s">
        <v>4</v>
      </c>
      <c r="E6" s="583"/>
      <c r="F6" s="583"/>
      <c r="G6" s="583"/>
      <c r="H6" s="584" t="s">
        <v>45</v>
      </c>
      <c r="I6" s="585"/>
      <c r="J6" s="585"/>
      <c r="K6" s="585"/>
      <c r="L6" s="584" t="s">
        <v>45</v>
      </c>
      <c r="M6" s="585"/>
      <c r="N6" s="585"/>
      <c r="O6" s="585"/>
      <c r="P6" s="584" t="s">
        <v>45</v>
      </c>
      <c r="Q6" s="585"/>
      <c r="R6" s="585"/>
      <c r="S6" s="585"/>
      <c r="T6" s="584" t="s">
        <v>45</v>
      </c>
      <c r="U6" s="586" t="s">
        <v>53</v>
      </c>
      <c r="V6" s="587" t="s">
        <v>53</v>
      </c>
      <c r="W6" s="233"/>
      <c r="X6" s="233"/>
    </row>
    <row r="7" spans="1:24" ht="30" customHeight="1" x14ac:dyDescent="0.25">
      <c r="A7" s="671" t="s">
        <v>5</v>
      </c>
      <c r="B7" s="977" t="s">
        <v>6</v>
      </c>
      <c r="C7" s="977"/>
      <c r="D7" s="672"/>
      <c r="E7" s="326">
        <v>21</v>
      </c>
      <c r="F7" s="326">
        <v>20</v>
      </c>
      <c r="G7" s="326">
        <v>23</v>
      </c>
      <c r="H7" s="536">
        <f t="shared" ref="H7:H15" si="0">AVERAGE(E7:G7)</f>
        <v>21.333333333333332</v>
      </c>
      <c r="I7" s="326">
        <v>19</v>
      </c>
      <c r="J7" s="326">
        <v>21</v>
      </c>
      <c r="K7" s="326">
        <v>21</v>
      </c>
      <c r="L7" s="548">
        <f>AVERAGE(I7:K7)</f>
        <v>20.333333333333332</v>
      </c>
      <c r="M7" s="326">
        <v>21</v>
      </c>
      <c r="N7" s="326">
        <v>22</v>
      </c>
      <c r="O7" s="326">
        <v>21</v>
      </c>
      <c r="P7" s="536">
        <f>AVERAGE(M7:O7)</f>
        <v>21.333333333333332</v>
      </c>
      <c r="Q7" s="502">
        <v>22</v>
      </c>
      <c r="R7" s="502">
        <v>21</v>
      </c>
      <c r="S7" s="502">
        <v>19</v>
      </c>
      <c r="T7" s="536">
        <f>AVERAGE(Q7:S7)</f>
        <v>20.666666666666668</v>
      </c>
      <c r="U7" s="553">
        <f>SUM(E7:G7,I7:K7,M7:O7,Q7:S7)</f>
        <v>251</v>
      </c>
      <c r="V7" s="554">
        <f>AVERAGE(E7:G7,I7:K7,M7:O7,Q7:S7)</f>
        <v>20.916666666666668</v>
      </c>
      <c r="W7" s="233"/>
      <c r="X7" s="233"/>
    </row>
    <row r="8" spans="1:24" ht="30" customHeight="1" x14ac:dyDescent="0.25">
      <c r="A8" s="673" t="s">
        <v>7</v>
      </c>
      <c r="B8" s="978" t="s">
        <v>40</v>
      </c>
      <c r="C8" s="978"/>
      <c r="D8" s="674"/>
      <c r="E8" s="504">
        <v>41</v>
      </c>
      <c r="F8" s="504">
        <v>41</v>
      </c>
      <c r="G8" s="504">
        <v>41</v>
      </c>
      <c r="H8" s="537">
        <f t="shared" si="0"/>
        <v>41</v>
      </c>
      <c r="I8" s="504">
        <v>41</v>
      </c>
      <c r="J8" s="504">
        <v>41</v>
      </c>
      <c r="K8" s="504">
        <v>41</v>
      </c>
      <c r="L8" s="549">
        <f>AVERAGE(I8:K8)</f>
        <v>41</v>
      </c>
      <c r="M8" s="504">
        <v>41</v>
      </c>
      <c r="N8" s="504">
        <v>41</v>
      </c>
      <c r="O8" s="504">
        <v>41</v>
      </c>
      <c r="P8" s="537">
        <f>AVERAGE(M8:O8)</f>
        <v>41</v>
      </c>
      <c r="Q8" s="505">
        <v>40</v>
      </c>
      <c r="R8" s="505">
        <v>40</v>
      </c>
      <c r="S8" s="505">
        <v>40</v>
      </c>
      <c r="T8" s="537">
        <f>AVERAGE(Q8:S8)</f>
        <v>40</v>
      </c>
      <c r="U8" s="555" t="s">
        <v>11</v>
      </c>
      <c r="V8" s="556">
        <f>AVERAGE(E8:G8,I8:K8,M8:O8,Q8:S8)</f>
        <v>40.75</v>
      </c>
      <c r="W8" s="233"/>
      <c r="X8" s="233"/>
    </row>
    <row r="9" spans="1:24" ht="33.75" customHeight="1" x14ac:dyDescent="0.35">
      <c r="A9" s="671" t="s">
        <v>12</v>
      </c>
      <c r="B9" s="675" t="s">
        <v>27</v>
      </c>
      <c r="C9" s="676" t="s">
        <v>181</v>
      </c>
      <c r="D9" s="677" t="s">
        <v>9</v>
      </c>
      <c r="E9" s="444">
        <v>167479.372</v>
      </c>
      <c r="F9" s="444">
        <v>150626.603</v>
      </c>
      <c r="G9" s="444">
        <v>173654.19</v>
      </c>
      <c r="H9" s="538">
        <f t="shared" si="0"/>
        <v>163920.05499999999</v>
      </c>
      <c r="I9" s="444">
        <v>165723.88</v>
      </c>
      <c r="J9" s="444">
        <v>175991.20189999999</v>
      </c>
      <c r="K9" s="444">
        <v>171056.598</v>
      </c>
      <c r="L9" s="493">
        <f>AVERAGE(I9:K9)</f>
        <v>170923.8933</v>
      </c>
      <c r="M9" s="669">
        <v>172909.372</v>
      </c>
      <c r="N9" s="444">
        <v>171137.56299999999</v>
      </c>
      <c r="O9" s="670">
        <v>167336.06</v>
      </c>
      <c r="P9" s="538">
        <f>AVERAGE(M9:O9)</f>
        <v>170460.99833333332</v>
      </c>
      <c r="Q9" s="508">
        <v>184349.40599999999</v>
      </c>
      <c r="R9" s="508">
        <v>181981.20600000001</v>
      </c>
      <c r="S9" s="508">
        <v>194616.09700000001</v>
      </c>
      <c r="T9" s="538">
        <f>AVERAGE(Q9:S9)</f>
        <v>186982.23633333333</v>
      </c>
      <c r="U9" s="557">
        <f>SUM(E9:G9,I9:K9,M9:O9,Q9:S9)</f>
        <v>2076861.5489000001</v>
      </c>
      <c r="V9" s="558">
        <f>AVERAGE(E9:G9,I9:K9,M9:O9,Q9:S9)</f>
        <v>173071.79574166666</v>
      </c>
      <c r="W9" s="317"/>
      <c r="X9" s="233"/>
    </row>
    <row r="10" spans="1:24" ht="30" customHeight="1" x14ac:dyDescent="0.35">
      <c r="A10" s="671"/>
      <c r="B10" s="678" t="s">
        <v>28</v>
      </c>
      <c r="C10" s="679" t="s">
        <v>10</v>
      </c>
      <c r="D10" s="680"/>
      <c r="E10" s="512">
        <f>E9/E15</f>
        <v>0.4430954786315438</v>
      </c>
      <c r="F10" s="512">
        <f>F9/F15</f>
        <v>0.43565863228240737</v>
      </c>
      <c r="G10" s="512">
        <f>G9/G15</f>
        <v>0.43013127968589687</v>
      </c>
      <c r="H10" s="539">
        <f t="shared" si="0"/>
        <v>0.43629513019994937</v>
      </c>
      <c r="I10" s="513">
        <f>I9/I15</f>
        <v>0.43696164761501888</v>
      </c>
      <c r="J10" s="513">
        <f>J9/J15</f>
        <v>0.44567855762171271</v>
      </c>
      <c r="K10" s="513">
        <f>K9/K15</f>
        <v>0.43470370994670182</v>
      </c>
      <c r="L10" s="492">
        <f>SUM(I9:K9)/SUM(I15:K15)</f>
        <v>0.43914865996292834</v>
      </c>
      <c r="M10" s="513">
        <f>M9/M15</f>
        <v>0.43750425936271747</v>
      </c>
      <c r="N10" s="513">
        <f>N9/N15</f>
        <v>0.42944452023247492</v>
      </c>
      <c r="O10" s="513">
        <f>O9/O15</f>
        <v>0.43028479015630866</v>
      </c>
      <c r="P10" s="539">
        <f>SUM(M9:O9)/SUM(M15:O15)</f>
        <v>0.43241429919131602</v>
      </c>
      <c r="Q10" s="513">
        <f>Q9/Q15</f>
        <v>0.42945784179791413</v>
      </c>
      <c r="R10" s="513">
        <f>R9/R15</f>
        <v>0.43465226995536183</v>
      </c>
      <c r="S10" s="513">
        <f>S9/S15</f>
        <v>0.44492125292566109</v>
      </c>
      <c r="T10" s="539">
        <f>SUM(Q9:S9)/SUM(Q15:S15)</f>
        <v>0.43641213717237087</v>
      </c>
      <c r="U10" s="559" t="s">
        <v>11</v>
      </c>
      <c r="V10" s="560">
        <f>U9/U15</f>
        <v>0.43603365388236037</v>
      </c>
      <c r="W10" s="448"/>
      <c r="X10" s="402"/>
    </row>
    <row r="11" spans="1:24" ht="33" customHeight="1" x14ac:dyDescent="0.35">
      <c r="A11" s="673"/>
      <c r="B11" s="979" t="s">
        <v>29</v>
      </c>
      <c r="C11" s="681" t="s">
        <v>181</v>
      </c>
      <c r="D11" s="682" t="s">
        <v>9</v>
      </c>
      <c r="E11" s="495">
        <v>129067.686</v>
      </c>
      <c r="F11" s="495">
        <v>122538.378</v>
      </c>
      <c r="G11" s="495">
        <v>141916.014</v>
      </c>
      <c r="H11" s="540">
        <f t="shared" si="0"/>
        <v>131174.02599999998</v>
      </c>
      <c r="I11" s="495">
        <v>131341.02100000001</v>
      </c>
      <c r="J11" s="495">
        <v>135221.97159999999</v>
      </c>
      <c r="K11" s="495">
        <v>137014.83300000001</v>
      </c>
      <c r="L11" s="494">
        <f>AVERAGE(I11:K11)</f>
        <v>134525.94186666666</v>
      </c>
      <c r="M11" s="600">
        <v>137282.26800000001</v>
      </c>
      <c r="N11" s="516">
        <v>141767.51199999999</v>
      </c>
      <c r="O11" s="516">
        <v>136221.13</v>
      </c>
      <c r="P11" s="540">
        <f>AVERAGE(M11:O11)</f>
        <v>138423.63666666669</v>
      </c>
      <c r="Q11" s="495">
        <v>148755.20199999999</v>
      </c>
      <c r="R11" s="495">
        <v>142097.25599999999</v>
      </c>
      <c r="S11" s="495">
        <v>148182.56400000001</v>
      </c>
      <c r="T11" s="540">
        <f>AVERAGE(Q11:S11)</f>
        <v>146345.00733333334</v>
      </c>
      <c r="U11" s="561">
        <f>SUM(E11:G11,I11:K11,M11:O11,Q11:S11)</f>
        <v>1651405.8356000001</v>
      </c>
      <c r="V11" s="562">
        <f>AVERAGE(E11:G11,I11:K11,M11:O11,Q11:S11)</f>
        <v>137617.15296666668</v>
      </c>
      <c r="W11" s="402"/>
      <c r="X11" s="233"/>
    </row>
    <row r="12" spans="1:24" ht="30" customHeight="1" x14ac:dyDescent="0.25">
      <c r="A12" s="673"/>
      <c r="B12" s="979"/>
      <c r="C12" s="683" t="s">
        <v>10</v>
      </c>
      <c r="D12" s="684"/>
      <c r="E12" s="512">
        <f>E11/E15</f>
        <v>0.34147075798705406</v>
      </c>
      <c r="F12" s="512">
        <f>F11/F15</f>
        <v>0.35441881512513851</v>
      </c>
      <c r="G12" s="512">
        <f>G11/G15</f>
        <v>0.35151767262132666</v>
      </c>
      <c r="H12" s="541">
        <f t="shared" si="0"/>
        <v>0.34913574857783974</v>
      </c>
      <c r="I12" s="519">
        <f>I11/I15</f>
        <v>0.34630488337346915</v>
      </c>
      <c r="J12" s="519">
        <f>J11/J15</f>
        <v>0.34243492067118048</v>
      </c>
      <c r="K12" s="519">
        <f>K11/K15</f>
        <v>0.34819385466106251</v>
      </c>
      <c r="L12" s="491">
        <f>SUM(I11:K11)/SUM(I15:K15)</f>
        <v>0.34563270213666181</v>
      </c>
      <c r="M12" s="597">
        <f>M11/M15</f>
        <v>0.34735871335519103</v>
      </c>
      <c r="N12" s="519">
        <f>N11/N15</f>
        <v>0.355744700977141</v>
      </c>
      <c r="O12" s="519">
        <f>O11/O15</f>
        <v>0.35027644571591587</v>
      </c>
      <c r="P12" s="541">
        <f>SUM(M11:O11)/SUM(M15:O15)</f>
        <v>0.35114401784554855</v>
      </c>
      <c r="Q12" s="519">
        <f>Q11/Q15</f>
        <v>0.34653807350555149</v>
      </c>
      <c r="R12" s="519">
        <f>R11/R15</f>
        <v>0.33939161209222973</v>
      </c>
      <c r="S12" s="519">
        <f>S11/S15</f>
        <v>0.33876731191776477</v>
      </c>
      <c r="T12" s="541">
        <f>SUM(Q11:S11)/SUM(Q15:S15)</f>
        <v>0.34156580147533921</v>
      </c>
      <c r="U12" s="563" t="s">
        <v>11</v>
      </c>
      <c r="V12" s="564">
        <f>U11/U15</f>
        <v>0.34670992918170279</v>
      </c>
      <c r="W12" s="402"/>
      <c r="X12" s="233"/>
    </row>
    <row r="13" spans="1:24" ht="33" customHeight="1" x14ac:dyDescent="0.35">
      <c r="A13" s="671"/>
      <c r="B13" s="969" t="s">
        <v>30</v>
      </c>
      <c r="C13" s="676" t="s">
        <v>181</v>
      </c>
      <c r="D13" s="677" t="s">
        <v>9</v>
      </c>
      <c r="E13" s="444">
        <v>80050.721000000005</v>
      </c>
      <c r="F13" s="444">
        <v>71330.356</v>
      </c>
      <c r="G13" s="444">
        <v>86575.409</v>
      </c>
      <c r="H13" s="538">
        <f t="shared" si="0"/>
        <v>79318.828666666654</v>
      </c>
      <c r="I13" s="444">
        <v>80847.403000000006</v>
      </c>
      <c r="J13" s="444">
        <v>82068.1155</v>
      </c>
      <c r="K13" s="444">
        <v>83923.83</v>
      </c>
      <c r="L13" s="493">
        <f>AVERAGE(I13:K13)</f>
        <v>82279.782833333345</v>
      </c>
      <c r="M13" s="669">
        <v>83535.635999999999</v>
      </c>
      <c r="N13" s="200">
        <v>84107.23</v>
      </c>
      <c r="O13" s="200">
        <v>83618.313999999998</v>
      </c>
      <c r="P13" s="538">
        <f>AVERAGE(M13:O13)</f>
        <v>83753.726666666669</v>
      </c>
      <c r="Q13" s="508">
        <v>94569.790999999997</v>
      </c>
      <c r="R13" s="508">
        <v>93014.297000000006</v>
      </c>
      <c r="S13" s="508">
        <v>93204.554999999993</v>
      </c>
      <c r="T13" s="538">
        <f>AVERAGE(Q13:S13)</f>
        <v>93596.214333333322</v>
      </c>
      <c r="U13" s="557">
        <f>SUM(E13:G13,I13:K13,M13:O13,Q13:S13)</f>
        <v>1016845.6575</v>
      </c>
      <c r="V13" s="558">
        <f>AVERAGE(E13:G13,I13:K13,M13:O13,Q13:S13)</f>
        <v>84737.138124999998</v>
      </c>
      <c r="W13" s="402"/>
      <c r="X13" s="233"/>
    </row>
    <row r="14" spans="1:24" ht="30" customHeight="1" x14ac:dyDescent="0.25">
      <c r="A14" s="671"/>
      <c r="B14" s="969"/>
      <c r="C14" s="685" t="s">
        <v>10</v>
      </c>
      <c r="D14" s="686"/>
      <c r="E14" s="512">
        <f>E13/E15</f>
        <v>0.21178794804828366</v>
      </c>
      <c r="F14" s="512">
        <f>F13/F15</f>
        <v>0.20630940827349872</v>
      </c>
      <c r="G14" s="512">
        <f>G13/G15</f>
        <v>0.21444222833033807</v>
      </c>
      <c r="H14" s="539">
        <f t="shared" si="0"/>
        <v>0.21084652821737349</v>
      </c>
      <c r="I14" s="521">
        <f>I13/I15</f>
        <v>0.21316912457200146</v>
      </c>
      <c r="J14" s="521">
        <f>J13/J15</f>
        <v>0.20782856726869212</v>
      </c>
      <c r="K14" s="521">
        <f>K13/K15</f>
        <v>0.21327444062658321</v>
      </c>
      <c r="L14" s="492">
        <f>SUM(I13:K13)/SUM(I15:K15)</f>
        <v>0.21139851003674215</v>
      </c>
      <c r="M14" s="521">
        <f>M13/M15</f>
        <v>0.21136619800211615</v>
      </c>
      <c r="N14" s="521">
        <f>N13/N15</f>
        <v>0.2110547117901429</v>
      </c>
      <c r="O14" s="521">
        <f>O13/O15</f>
        <v>0.21501455629297311</v>
      </c>
      <c r="P14" s="539">
        <f>SUM(M13:O13)/SUM(M15:O15)</f>
        <v>0.21246096981320839</v>
      </c>
      <c r="Q14" s="513">
        <f>Q13/Q15</f>
        <v>0.22030848497629443</v>
      </c>
      <c r="R14" s="513">
        <f>R13/R15</f>
        <v>0.22215961866607367</v>
      </c>
      <c r="S14" s="513">
        <f>S13/S15</f>
        <v>0.2130794319083415</v>
      </c>
      <c r="T14" s="539">
        <f>SUM(Q13:S13)/SUM(Q15:S15)</f>
        <v>0.21845136056473391</v>
      </c>
      <c r="U14" s="565" t="s">
        <v>11</v>
      </c>
      <c r="V14" s="566">
        <f>U13/U15</f>
        <v>0.21348506726843189</v>
      </c>
      <c r="W14" s="233"/>
      <c r="X14" s="233"/>
    </row>
    <row r="15" spans="1:24" ht="33" customHeight="1" x14ac:dyDescent="0.25">
      <c r="A15" s="673" t="s">
        <v>17</v>
      </c>
      <c r="B15" s="687" t="s">
        <v>13</v>
      </c>
      <c r="C15" s="687" t="s">
        <v>8</v>
      </c>
      <c r="D15" s="688" t="s">
        <v>9</v>
      </c>
      <c r="E15" s="524">
        <f>E17+E19</f>
        <v>377975.80900000007</v>
      </c>
      <c r="F15" s="524">
        <f>F17+F19</f>
        <v>345744.56200000003</v>
      </c>
      <c r="G15" s="524">
        <f>G17+G19</f>
        <v>403723.696</v>
      </c>
      <c r="H15" s="542">
        <f t="shared" si="0"/>
        <v>375814.68900000001</v>
      </c>
      <c r="I15" s="524">
        <f>I17+I19</f>
        <v>379264.13199999998</v>
      </c>
      <c r="J15" s="524">
        <f>J17+J19</f>
        <v>394883.70909999998</v>
      </c>
      <c r="K15" s="524">
        <f>K17+K19</f>
        <v>393501.58299999998</v>
      </c>
      <c r="L15" s="550">
        <f>AVERAGE(I15:K15)</f>
        <v>389216.47469999996</v>
      </c>
      <c r="M15" s="524">
        <f>M17+M19</f>
        <v>395217.57400000002</v>
      </c>
      <c r="N15" s="524">
        <f>N17+N19</f>
        <v>398509.13199999993</v>
      </c>
      <c r="O15" s="524">
        <f>O17+O19</f>
        <v>388896.06099999999</v>
      </c>
      <c r="P15" s="542">
        <f>AVERAGE(M15:O15)</f>
        <v>394207.58899999998</v>
      </c>
      <c r="Q15" s="524">
        <f>Q17+Q19</f>
        <v>429260.77499999997</v>
      </c>
      <c r="R15" s="524">
        <f>R17+R19</f>
        <v>418682.28600000002</v>
      </c>
      <c r="S15" s="524">
        <f>S17+S19</f>
        <v>437416.94900000002</v>
      </c>
      <c r="T15" s="542">
        <f>AVERAGE(Q15:S15)</f>
        <v>428453.33666666667</v>
      </c>
      <c r="U15" s="567">
        <f>SUM(E15:G15,I15:K15,M15:O15,Q15:S15)</f>
        <v>4763076.2681</v>
      </c>
      <c r="V15" s="567">
        <f>AVERAGE(E15:G15,I15:K15,M15:O15,Q15:S15)</f>
        <v>396923.02234166668</v>
      </c>
      <c r="W15" s="317"/>
      <c r="X15" s="233"/>
    </row>
    <row r="16" spans="1:24" ht="30" customHeight="1" x14ac:dyDescent="0.25">
      <c r="A16" s="673"/>
      <c r="B16" s="689" t="s">
        <v>14</v>
      </c>
      <c r="C16" s="689" t="s">
        <v>15</v>
      </c>
      <c r="D16" s="690" t="s">
        <v>9</v>
      </c>
      <c r="E16" s="496">
        <f>E15/E7</f>
        <v>17998.848047619053</v>
      </c>
      <c r="F16" s="496">
        <f>F15/F7</f>
        <v>17287.2281</v>
      </c>
      <c r="G16" s="496">
        <f>G15/G7</f>
        <v>17553.204173913044</v>
      </c>
      <c r="H16" s="543">
        <f>SUM(E15:G15)/SUM(E7:G7)</f>
        <v>17616.313546875001</v>
      </c>
      <c r="I16" s="496">
        <f>I15/I7</f>
        <v>19961.270105263156</v>
      </c>
      <c r="J16" s="496">
        <f>J15/J7</f>
        <v>18803.986147619045</v>
      </c>
      <c r="K16" s="496">
        <f>K15/K7</f>
        <v>18738.170619047618</v>
      </c>
      <c r="L16" s="497">
        <f>SUM(I15:K15)/SUM(I7:K7)</f>
        <v>19141.793837704918</v>
      </c>
      <c r="M16" s="496">
        <f>M15/M7</f>
        <v>18819.884476190477</v>
      </c>
      <c r="N16" s="496">
        <f>N15/N7</f>
        <v>18114.05145454545</v>
      </c>
      <c r="O16" s="496">
        <f>O15/O7</f>
        <v>18518.860047619048</v>
      </c>
      <c r="P16" s="543">
        <f>SUM(M15:O15)/SUM(M7:O7)</f>
        <v>18478.480734375</v>
      </c>
      <c r="Q16" s="496">
        <f>Q15/Q7</f>
        <v>19511.853409090909</v>
      </c>
      <c r="R16" s="496">
        <f>R15/R7</f>
        <v>19937.251714285714</v>
      </c>
      <c r="S16" s="496">
        <f>S15/S7</f>
        <v>23021.944684210528</v>
      </c>
      <c r="T16" s="543">
        <f>SUM(Q15:S15)/SUM(Q7:S7)</f>
        <v>20731.613064516128</v>
      </c>
      <c r="U16" s="568" t="s">
        <v>11</v>
      </c>
      <c r="V16" s="569">
        <f>U15/U7</f>
        <v>18976.399474501992</v>
      </c>
      <c r="W16" s="233"/>
      <c r="X16" s="233"/>
    </row>
    <row r="17" spans="1:24" s="27" customFormat="1" ht="33" customHeight="1" x14ac:dyDescent="0.35">
      <c r="A17" s="691"/>
      <c r="B17" s="692" t="s">
        <v>36</v>
      </c>
      <c r="C17" s="676" t="s">
        <v>8</v>
      </c>
      <c r="D17" s="677" t="s">
        <v>9</v>
      </c>
      <c r="E17" s="200">
        <f>E9+E11+E13</f>
        <v>376597.77900000004</v>
      </c>
      <c r="F17" s="200">
        <f>F9+F11+F13</f>
        <v>344495.33700000006</v>
      </c>
      <c r="G17" s="200">
        <f>G9+G11+G13</f>
        <v>402145.61300000001</v>
      </c>
      <c r="H17" s="538">
        <f>AVERAGE(E17:G17)</f>
        <v>374412.90966666676</v>
      </c>
      <c r="I17" s="200">
        <f>I9+I11+I13</f>
        <v>377912.304</v>
      </c>
      <c r="J17" s="200">
        <f>J9+J11+J13</f>
        <v>393281.28899999999</v>
      </c>
      <c r="K17" s="200">
        <f>K9+K11+K13</f>
        <v>391995.261</v>
      </c>
      <c r="L17" s="493">
        <f>AVERAGE(I17:K17)</f>
        <v>387729.61800000002</v>
      </c>
      <c r="M17" s="200">
        <f>M9+M11+M13</f>
        <v>393727.27600000001</v>
      </c>
      <c r="N17" s="200">
        <f>N9+N11+N13</f>
        <v>397012.30499999993</v>
      </c>
      <c r="O17" s="200">
        <f>O9+O11+O13</f>
        <v>387175.50400000002</v>
      </c>
      <c r="P17" s="538">
        <f>AVERAGE(M17:O17)</f>
        <v>392638.36166666663</v>
      </c>
      <c r="Q17" s="200">
        <f>Q9+Q11+Q13</f>
        <v>427674.39899999998</v>
      </c>
      <c r="R17" s="200">
        <f>R9+R11+R13</f>
        <v>417092.75900000002</v>
      </c>
      <c r="S17" s="200">
        <f>S9+S11+S13</f>
        <v>436003.21600000001</v>
      </c>
      <c r="T17" s="538">
        <f>AVERAGE(Q17:S17)</f>
        <v>426923.45800000004</v>
      </c>
      <c r="U17" s="558">
        <f>SUM(E17:G17,I17:K17,M17:O17,Q17:S17)</f>
        <v>4745113.0419999994</v>
      </c>
      <c r="V17" s="558">
        <f>AVERAGE(E17:G17,I17:K17,M17:O17,Q18,Q18,Q17,Q17:S17)</f>
        <v>344852.62890725333</v>
      </c>
      <c r="W17" s="234"/>
      <c r="X17" s="234"/>
    </row>
    <row r="18" spans="1:24" s="25" customFormat="1" ht="30" customHeight="1" x14ac:dyDescent="0.25">
      <c r="A18" s="693"/>
      <c r="B18" s="694" t="s">
        <v>32</v>
      </c>
      <c r="C18" s="695" t="s">
        <v>10</v>
      </c>
      <c r="D18" s="686"/>
      <c r="E18" s="521">
        <f>E17/E15</f>
        <v>0.99635418466688164</v>
      </c>
      <c r="F18" s="521">
        <f>F17/F15</f>
        <v>0.99638685568104468</v>
      </c>
      <c r="G18" s="521">
        <f>G17/G15</f>
        <v>0.99609118063756164</v>
      </c>
      <c r="H18" s="539">
        <f>AVERAGE(E18:G18)</f>
        <v>0.99627740699516265</v>
      </c>
      <c r="I18" s="521">
        <f>I17/I15</f>
        <v>0.99643565556048952</v>
      </c>
      <c r="J18" s="521">
        <f>J17/J15</f>
        <v>0.99594204556158539</v>
      </c>
      <c r="K18" s="521">
        <f>K17/K15</f>
        <v>0.99617200523434746</v>
      </c>
      <c r="L18" s="492">
        <f>SUM(I17:K17)/SUM(I15:K15)</f>
        <v>0.9961798721363323</v>
      </c>
      <c r="M18" s="521">
        <f>M17/M15</f>
        <v>0.9962291707200247</v>
      </c>
      <c r="N18" s="521">
        <f>N17/N15</f>
        <v>0.99624393299975877</v>
      </c>
      <c r="O18" s="521">
        <f>O17/O15</f>
        <v>0.99557579216519765</v>
      </c>
      <c r="P18" s="539">
        <f>SUM(M17:O17)/SUM(M15:O15)</f>
        <v>0.9960192868500729</v>
      </c>
      <c r="Q18" s="513">
        <f>Q17/Q15</f>
        <v>0.99630440027976008</v>
      </c>
      <c r="R18" s="513">
        <f>R17/R15</f>
        <v>0.99620350071366526</v>
      </c>
      <c r="S18" s="513">
        <f>S17/S15</f>
        <v>0.99676799675176742</v>
      </c>
      <c r="T18" s="539">
        <f>SUM(Q17:S17)/SUM(Q15:S15)</f>
        <v>0.99642929921244405</v>
      </c>
      <c r="U18" s="565" t="s">
        <v>11</v>
      </c>
      <c r="V18" s="566">
        <f>U17/U15</f>
        <v>0.99622865033249486</v>
      </c>
      <c r="W18" s="235"/>
      <c r="X18" s="235"/>
    </row>
    <row r="19" spans="1:24" s="27" customFormat="1" ht="33" customHeight="1" x14ac:dyDescent="0.35">
      <c r="A19" s="696"/>
      <c r="B19" s="697" t="s">
        <v>36</v>
      </c>
      <c r="C19" s="681" t="s">
        <v>8</v>
      </c>
      <c r="D19" s="682" t="s">
        <v>9</v>
      </c>
      <c r="E19" s="495">
        <v>1378.03</v>
      </c>
      <c r="F19" s="495">
        <v>1249.2249999999999</v>
      </c>
      <c r="G19" s="495">
        <v>1578.0830000000001</v>
      </c>
      <c r="H19" s="540">
        <f>AVERAGE(E19:G19)</f>
        <v>1401.7793333333332</v>
      </c>
      <c r="I19" s="495">
        <v>1351.828</v>
      </c>
      <c r="J19" s="495">
        <v>1602.4201</v>
      </c>
      <c r="K19" s="495">
        <v>1506.3219999999999</v>
      </c>
      <c r="L19" s="494">
        <f>AVERAGE(I19:K19)</f>
        <v>1486.8567</v>
      </c>
      <c r="M19" s="600">
        <v>1490.298</v>
      </c>
      <c r="N19" s="516">
        <v>1496.827</v>
      </c>
      <c r="O19" s="516">
        <v>1720.557</v>
      </c>
      <c r="P19" s="540">
        <f>AVERAGE(M19:O19)</f>
        <v>1569.2273333333333</v>
      </c>
      <c r="Q19" s="495">
        <v>1586.376</v>
      </c>
      <c r="R19" s="495">
        <v>1589.527</v>
      </c>
      <c r="S19" s="495">
        <v>1413.7329999999999</v>
      </c>
      <c r="T19" s="540">
        <f>AVERAGE(Q19:S19)</f>
        <v>1529.8786666666667</v>
      </c>
      <c r="U19" s="562">
        <f>SUM(E19:G19,I19:K19,M19:O19,Q19:S19)</f>
        <v>17963.2261</v>
      </c>
      <c r="V19" s="562">
        <f>AVERAGE(E19:G19,I19:K19,M19:O19,Q19:S19)</f>
        <v>1496.9355083333332</v>
      </c>
      <c r="W19" s="234"/>
      <c r="X19" s="234"/>
    </row>
    <row r="20" spans="1:24" s="25" customFormat="1" ht="30" customHeight="1" x14ac:dyDescent="0.25">
      <c r="A20" s="698"/>
      <c r="B20" s="699" t="s">
        <v>31</v>
      </c>
      <c r="C20" s="700" t="s">
        <v>10</v>
      </c>
      <c r="D20" s="684"/>
      <c r="E20" s="519">
        <f>E19/E15</f>
        <v>3.6458153331183152E-3</v>
      </c>
      <c r="F20" s="519">
        <f>F19/F15</f>
        <v>3.6131443189553326E-3</v>
      </c>
      <c r="G20" s="519">
        <f>G19/G15</f>
        <v>3.9088193624384144E-3</v>
      </c>
      <c r="H20" s="541">
        <f>AVERAGE(E20:G20)</f>
        <v>3.7225930048373538E-3</v>
      </c>
      <c r="I20" s="519">
        <f>I19/I15</f>
        <v>3.5643444395105626E-3</v>
      </c>
      <c r="J20" s="519">
        <f>J19/J15</f>
        <v>4.0579544384146899E-3</v>
      </c>
      <c r="K20" s="519">
        <f>K19/K15</f>
        <v>3.8279947656525691E-3</v>
      </c>
      <c r="L20" s="491">
        <f>SUM(I19:K19)/SUM(I15:K15)</f>
        <v>3.8201278636677402E-3</v>
      </c>
      <c r="M20" s="519">
        <f>M19/M15</f>
        <v>3.7708292799752876E-3</v>
      </c>
      <c r="N20" s="519">
        <f>N19/N15</f>
        <v>3.7560670002412901E-3</v>
      </c>
      <c r="O20" s="519">
        <f>O19/O15</f>
        <v>4.4242078348024202E-3</v>
      </c>
      <c r="P20" s="541">
        <f>SUM(M19:O19)/SUM(M15:O15)</f>
        <v>3.9807131499270381E-3</v>
      </c>
      <c r="Q20" s="519">
        <f>Q19/Q15</f>
        <v>3.6955997202399874E-3</v>
      </c>
      <c r="R20" s="519">
        <f>R19/R15</f>
        <v>3.7964992863347459E-3</v>
      </c>
      <c r="S20" s="519">
        <f>S19/S15</f>
        <v>3.2320032482326144E-3</v>
      </c>
      <c r="T20" s="541">
        <f>SUM(Q19:S19)/SUM(Q15:S15)</f>
        <v>3.5707007875560096E-3</v>
      </c>
      <c r="U20" s="570" t="s">
        <v>11</v>
      </c>
      <c r="V20" s="564">
        <f>U19/U15</f>
        <v>3.7713496675050228E-3</v>
      </c>
      <c r="W20" s="235"/>
      <c r="X20" s="235"/>
    </row>
    <row r="21" spans="1:24" ht="33" customHeight="1" x14ac:dyDescent="0.25">
      <c r="A21" s="671" t="s">
        <v>24</v>
      </c>
      <c r="B21" s="701" t="s">
        <v>37</v>
      </c>
      <c r="C21" s="701" t="s">
        <v>19</v>
      </c>
      <c r="D21" s="702" t="s">
        <v>16</v>
      </c>
      <c r="E21" s="218">
        <f>E23+E25</f>
        <v>144850.08199999999</v>
      </c>
      <c r="F21" s="218">
        <f>F23+F25</f>
        <v>141191.86499999999</v>
      </c>
      <c r="G21" s="218">
        <f>G23+G25</f>
        <v>159413.935</v>
      </c>
      <c r="H21" s="544">
        <f>AVERAGE(E21:G21)</f>
        <v>148485.29399999999</v>
      </c>
      <c r="I21" s="218">
        <f>I23+I25</f>
        <v>145853.446</v>
      </c>
      <c r="J21" s="218">
        <f>J23+J25</f>
        <v>153667.02600000001</v>
      </c>
      <c r="K21" s="218">
        <f>K23+K25</f>
        <v>150228.79300000001</v>
      </c>
      <c r="L21" s="499">
        <f>AVERAGE(I21:K21)</f>
        <v>149916.42166666666</v>
      </c>
      <c r="M21" s="218">
        <f>M23+M25</f>
        <v>148237.47399999999</v>
      </c>
      <c r="N21" s="218">
        <f>N23+N25</f>
        <v>144325.891</v>
      </c>
      <c r="O21" s="218">
        <f>O23+O25</f>
        <v>145255.242</v>
      </c>
      <c r="P21" s="544">
        <f>AVERAGE(M21:O21)</f>
        <v>145939.53566666666</v>
      </c>
      <c r="Q21" s="531">
        <f>Q23+Q25</f>
        <v>158247.17800000001</v>
      </c>
      <c r="R21" s="531">
        <f>R23+R25</f>
        <v>152314.65399999998</v>
      </c>
      <c r="S21" s="531">
        <f>S23+S25</f>
        <v>154959.261</v>
      </c>
      <c r="T21" s="544">
        <f>AVERAGE(Q21:S21)</f>
        <v>155173.69766666667</v>
      </c>
      <c r="U21" s="571">
        <f>SUM(E21:G21,I21:K21,M21:O21,Q21:S21)</f>
        <v>1798544.8470000001</v>
      </c>
      <c r="V21" s="572">
        <f>AVERAGE(E21:G21,I21:K21,M21:O21,Q21:S21)</f>
        <v>149878.73725000001</v>
      </c>
      <c r="W21" s="233"/>
      <c r="X21" s="233"/>
    </row>
    <row r="22" spans="1:24" ht="30" customHeight="1" x14ac:dyDescent="0.25">
      <c r="A22" s="671"/>
      <c r="B22" s="703" t="s">
        <v>14</v>
      </c>
      <c r="C22" s="703" t="s">
        <v>38</v>
      </c>
      <c r="D22" s="704" t="s">
        <v>16</v>
      </c>
      <c r="E22" s="221">
        <f>E21/E7</f>
        <v>6897.6229523809525</v>
      </c>
      <c r="F22" s="221">
        <f>F21/F7</f>
        <v>7059.5932499999999</v>
      </c>
      <c r="G22" s="221">
        <f>G21/G7</f>
        <v>6931.0406521739133</v>
      </c>
      <c r="H22" s="545">
        <f>SUM(E21:G21)/SUM(E7:G7)</f>
        <v>6960.2481562499997</v>
      </c>
      <c r="I22" s="221">
        <f>I21/I7</f>
        <v>7676.497157894737</v>
      </c>
      <c r="J22" s="221">
        <f>J21/J7</f>
        <v>7317.4774285714293</v>
      </c>
      <c r="K22" s="221">
        <f>K21/K7</f>
        <v>7153.7520476190475</v>
      </c>
      <c r="L22" s="551">
        <f>SUM(I21:K21)/SUM(I7:K7)</f>
        <v>7372.9387704918036</v>
      </c>
      <c r="M22" s="221">
        <f>M21/M7</f>
        <v>7058.9273333333331</v>
      </c>
      <c r="N22" s="221">
        <f>N21/N7</f>
        <v>6560.267772727273</v>
      </c>
      <c r="O22" s="221">
        <f>O21/O7</f>
        <v>6916.9162857142856</v>
      </c>
      <c r="P22" s="545">
        <f>SUM(M21:O21)/SUM(M7:O7)</f>
        <v>6840.9157343749994</v>
      </c>
      <c r="Q22" s="532">
        <f>Q21/Q7</f>
        <v>7193.0535454545461</v>
      </c>
      <c r="R22" s="532">
        <f>R21/R7</f>
        <v>7253.0787619047605</v>
      </c>
      <c r="S22" s="532">
        <f>S21/S7</f>
        <v>8155.750578947368</v>
      </c>
      <c r="T22" s="545">
        <f>SUM(Q21:S21)/SUM(Q7:S7)</f>
        <v>7508.4047258064511</v>
      </c>
      <c r="U22" s="573" t="s">
        <v>11</v>
      </c>
      <c r="V22" s="574">
        <f>U21/U7</f>
        <v>7165.5173187251003</v>
      </c>
      <c r="W22" s="233"/>
      <c r="X22" s="233"/>
    </row>
    <row r="23" spans="1:24" s="27" customFormat="1" ht="33" customHeight="1" x14ac:dyDescent="0.35">
      <c r="A23" s="696"/>
      <c r="B23" s="697" t="s">
        <v>36</v>
      </c>
      <c r="C23" s="681" t="s">
        <v>19</v>
      </c>
      <c r="D23" s="682" t="s">
        <v>16</v>
      </c>
      <c r="E23" s="495">
        <v>142977.50200000001</v>
      </c>
      <c r="F23" s="495">
        <v>139469.826</v>
      </c>
      <c r="G23" s="495">
        <v>157508.66899999999</v>
      </c>
      <c r="H23" s="540">
        <f>AVERAGE(E23:G23)</f>
        <v>146651.99899999998</v>
      </c>
      <c r="I23" s="495">
        <v>144149.36499999999</v>
      </c>
      <c r="J23" s="495">
        <v>151738.057</v>
      </c>
      <c r="K23" s="495">
        <v>148447.829</v>
      </c>
      <c r="L23" s="494">
        <f>AVERAGE(I23:K23)</f>
        <v>148111.75033333336</v>
      </c>
      <c r="M23" s="516">
        <v>146384.53899999999</v>
      </c>
      <c r="N23" s="516">
        <v>142505.929</v>
      </c>
      <c r="O23" s="516">
        <v>143534.685</v>
      </c>
      <c r="P23" s="540">
        <f>+AVERAGE(M23:O23)</f>
        <v>144141.71766666666</v>
      </c>
      <c r="Q23" s="495">
        <v>156330.429</v>
      </c>
      <c r="R23" s="495">
        <v>150544.00899999999</v>
      </c>
      <c r="S23" s="495">
        <v>153200.15599999999</v>
      </c>
      <c r="T23" s="540">
        <f>+AVERAGE(Q23:S23)</f>
        <v>153358.19799999997</v>
      </c>
      <c r="U23" s="562">
        <f>SUM(E23:G23,I23:K23,M23:O23,Q23:S23)</f>
        <v>1776790.9950000001</v>
      </c>
      <c r="V23" s="562">
        <f>AVERAGE(E23:G23,I23:K23,L23:O24)</f>
        <v>104630.86445289735</v>
      </c>
      <c r="W23" s="234"/>
      <c r="X23" s="234"/>
    </row>
    <row r="24" spans="1:24" s="25" customFormat="1" ht="30" customHeight="1" x14ac:dyDescent="0.25">
      <c r="A24" s="698"/>
      <c r="B24" s="699" t="s">
        <v>32</v>
      </c>
      <c r="C24" s="700" t="s">
        <v>21</v>
      </c>
      <c r="D24" s="684"/>
      <c r="E24" s="519">
        <f>E23/E21</f>
        <v>0.98707228898910815</v>
      </c>
      <c r="F24" s="519">
        <f>F23/F21</f>
        <v>0.98780355369624173</v>
      </c>
      <c r="G24" s="519">
        <f>G23/G21</f>
        <v>0.9880483095784568</v>
      </c>
      <c r="H24" s="541">
        <f>SUM(E23:G23)/SUM(E21:G21)</f>
        <v>0.98765335643272523</v>
      </c>
      <c r="I24" s="519">
        <f>I23/I21</f>
        <v>0.98831648447990728</v>
      </c>
      <c r="J24" s="519">
        <f>J23/J21</f>
        <v>0.9874470857528016</v>
      </c>
      <c r="K24" s="519">
        <f>K23/K21</f>
        <v>0.9881449889569438</v>
      </c>
      <c r="L24" s="491">
        <f>SUM(I23:K23)/SUM(I21:K21)</f>
        <v>0.98796215042174673</v>
      </c>
      <c r="M24" s="519">
        <f>M23/M21</f>
        <v>0.98750022548279526</v>
      </c>
      <c r="N24" s="519">
        <f>N23/N21</f>
        <v>0.98738991329005554</v>
      </c>
      <c r="O24" s="519">
        <f>O23/O21</f>
        <v>0.98815494039106688</v>
      </c>
      <c r="P24" s="541">
        <f>SUM(M23:O23)/SUM(M21:O21)</f>
        <v>0.98768107633214419</v>
      </c>
      <c r="Q24" s="519">
        <f>Q23/Q21</f>
        <v>0.98788762602768176</v>
      </c>
      <c r="R24" s="519">
        <f>R23/R21</f>
        <v>0.98837508438288546</v>
      </c>
      <c r="S24" s="519">
        <f>S23/S21</f>
        <v>0.98864795179940868</v>
      </c>
      <c r="T24" s="541">
        <f>SUM(Q23:S23)/SUM(Q21:S21)</f>
        <v>0.98830021006158775</v>
      </c>
      <c r="U24" s="575" t="s">
        <v>11</v>
      </c>
      <c r="V24" s="564">
        <f>U23/U21</f>
        <v>0.98790474864372402</v>
      </c>
      <c r="W24" s="235"/>
      <c r="X24" s="236"/>
    </row>
    <row r="25" spans="1:24" s="27" customFormat="1" ht="33" customHeight="1" x14ac:dyDescent="0.35">
      <c r="A25" s="691"/>
      <c r="B25" s="692" t="s">
        <v>36</v>
      </c>
      <c r="C25" s="676" t="s">
        <v>19</v>
      </c>
      <c r="D25" s="677" t="s">
        <v>16</v>
      </c>
      <c r="E25" s="444">
        <v>1872.58</v>
      </c>
      <c r="F25" s="444">
        <v>1722.039</v>
      </c>
      <c r="G25" s="444">
        <v>1905.2660000000001</v>
      </c>
      <c r="H25" s="538">
        <f>AVERAGE(E25:G25)</f>
        <v>1833.2950000000001</v>
      </c>
      <c r="I25" s="444">
        <v>1704.0809999999999</v>
      </c>
      <c r="J25" s="444">
        <v>1928.9690000000001</v>
      </c>
      <c r="K25" s="444">
        <v>1780.9639999999999</v>
      </c>
      <c r="L25" s="493">
        <f>AVERAGE(I25:K25)</f>
        <v>1804.6713333333335</v>
      </c>
      <c r="M25" s="444">
        <v>1852.9349999999999</v>
      </c>
      <c r="N25" s="200">
        <v>1819.962</v>
      </c>
      <c r="O25" s="200">
        <v>1720.557</v>
      </c>
      <c r="P25" s="538">
        <f>AVERAGE(M25:O25)</f>
        <v>1797.818</v>
      </c>
      <c r="Q25" s="508">
        <v>1916.749</v>
      </c>
      <c r="R25" s="508">
        <v>1770.645</v>
      </c>
      <c r="S25" s="508">
        <v>1759.105</v>
      </c>
      <c r="T25" s="538">
        <f>AVERAGE(Q25:S25)</f>
        <v>1815.4996666666666</v>
      </c>
      <c r="U25" s="558">
        <f>SUM(E25:G25,I25:K25,M25:O25,Q25:S25)</f>
        <v>21753.852000000003</v>
      </c>
      <c r="V25" s="576">
        <f>AVERAGE(E25:G25,I25:K25,M25:O25,Q25:S25)</f>
        <v>1812.8210000000001</v>
      </c>
      <c r="W25" s="234"/>
      <c r="X25" s="234"/>
    </row>
    <row r="26" spans="1:24" s="25" customFormat="1" ht="30" customHeight="1" x14ac:dyDescent="0.25">
      <c r="A26" s="693"/>
      <c r="B26" s="694" t="s">
        <v>31</v>
      </c>
      <c r="C26" s="695" t="s">
        <v>21</v>
      </c>
      <c r="D26" s="686"/>
      <c r="E26" s="521">
        <f>E25/E21</f>
        <v>1.2927711010891936E-2</v>
      </c>
      <c r="F26" s="521">
        <f>F25/F21</f>
        <v>1.2196446303758365E-2</v>
      </c>
      <c r="G26" s="521">
        <f>G25/G21</f>
        <v>1.1951690421543136E-2</v>
      </c>
      <c r="H26" s="539">
        <f>SUM(E25:G25)/SUM(E21:G21)</f>
        <v>1.2346643567274751E-2</v>
      </c>
      <c r="I26" s="521">
        <f>I25/I21</f>
        <v>1.1683515520092683E-2</v>
      </c>
      <c r="J26" s="521">
        <f>J25/J21</f>
        <v>1.2552914247198354E-2</v>
      </c>
      <c r="K26" s="521">
        <f>K25/K21</f>
        <v>1.1855011043056174E-2</v>
      </c>
      <c r="L26" s="492">
        <f>SUM(I25:K25)/SUM(I21:K21)</f>
        <v>1.2037849578253341E-2</v>
      </c>
      <c r="M26" s="521">
        <f>M25/M21</f>
        <v>1.2499774517204739E-2</v>
      </c>
      <c r="N26" s="521">
        <f>N25/N21</f>
        <v>1.2610086709944511E-2</v>
      </c>
      <c r="O26" s="521">
        <f>O25/O21</f>
        <v>1.1845059608933081E-2</v>
      </c>
      <c r="P26" s="539">
        <f>SUM(M25:O25)/SUM(M21:O21)</f>
        <v>1.2318923667855898E-2</v>
      </c>
      <c r="Q26" s="513">
        <f>Q25/Q21</f>
        <v>1.2112373972318166E-2</v>
      </c>
      <c r="R26" s="513">
        <f>R25/R21</f>
        <v>1.1624915617114557E-2</v>
      </c>
      <c r="S26" s="513">
        <f>S25/S21</f>
        <v>1.1352048200591252E-2</v>
      </c>
      <c r="T26" s="539">
        <f>SUM(Q25:S25)/SUM(Q21:S21)</f>
        <v>1.1699789938412091E-2</v>
      </c>
      <c r="U26" s="577" t="s">
        <v>11</v>
      </c>
      <c r="V26" s="565">
        <f>U25/U21</f>
        <v>1.2095251356276022E-2</v>
      </c>
      <c r="W26" s="235"/>
      <c r="X26" s="235"/>
    </row>
    <row r="27" spans="1:24" ht="33" customHeight="1" x14ac:dyDescent="0.25">
      <c r="A27" s="673" t="s">
        <v>33</v>
      </c>
      <c r="B27" s="687" t="s">
        <v>34</v>
      </c>
      <c r="C27" s="689" t="s">
        <v>18</v>
      </c>
      <c r="D27" s="690"/>
      <c r="E27" s="533">
        <v>1584</v>
      </c>
      <c r="F27" s="533">
        <v>1549</v>
      </c>
      <c r="G27" s="533">
        <v>1546</v>
      </c>
      <c r="H27" s="546">
        <f>AVERAGE(E27:G27)</f>
        <v>1559.6666666666667</v>
      </c>
      <c r="I27" s="533">
        <v>1546</v>
      </c>
      <c r="J27" s="533">
        <v>1546</v>
      </c>
      <c r="K27" s="533">
        <v>1543</v>
      </c>
      <c r="L27" s="552">
        <f>AVERAGE(I27:K27)</f>
        <v>1545</v>
      </c>
      <c r="M27" s="533">
        <v>1543</v>
      </c>
      <c r="N27" s="533">
        <v>1543</v>
      </c>
      <c r="O27" s="533">
        <v>1543</v>
      </c>
      <c r="P27" s="546">
        <f>AVERAGE(M27:O27)</f>
        <v>1543</v>
      </c>
      <c r="Q27" s="534">
        <v>1541</v>
      </c>
      <c r="R27" s="534">
        <v>1541</v>
      </c>
      <c r="S27" s="534">
        <v>1541</v>
      </c>
      <c r="T27" s="546">
        <f>AVERAGE(Q27:S27)</f>
        <v>1541</v>
      </c>
      <c r="U27" s="578" t="s">
        <v>11</v>
      </c>
      <c r="V27" s="579">
        <f>AVERAGE(E27:G27,I27:K27,M27:O27,Q27:S27)</f>
        <v>1547.1666666666667</v>
      </c>
      <c r="W27" s="233"/>
      <c r="X27" s="233"/>
    </row>
    <row r="28" spans="1:24" ht="30" customHeight="1" x14ac:dyDescent="0.25">
      <c r="A28" s="705"/>
      <c r="B28" s="705"/>
      <c r="C28" s="701" t="s">
        <v>19</v>
      </c>
      <c r="D28" s="702" t="s">
        <v>16</v>
      </c>
      <c r="E28" s="218">
        <f>E21</f>
        <v>144850.08199999999</v>
      </c>
      <c r="F28" s="218">
        <f>F21</f>
        <v>141191.86499999999</v>
      </c>
      <c r="G28" s="218">
        <f>G21</f>
        <v>159413.935</v>
      </c>
      <c r="H28" s="544">
        <f>AVERAGE(E28:G28)</f>
        <v>148485.29399999999</v>
      </c>
      <c r="I28" s="218">
        <f>I21</f>
        <v>145853.446</v>
      </c>
      <c r="J28" s="218">
        <f>J21</f>
        <v>153667.02600000001</v>
      </c>
      <c r="K28" s="218">
        <f>K21</f>
        <v>150228.79300000001</v>
      </c>
      <c r="L28" s="499">
        <f>AVERAGE(I28:J28)</f>
        <v>149760.236</v>
      </c>
      <c r="M28" s="218">
        <f>M21</f>
        <v>148237.47399999999</v>
      </c>
      <c r="N28" s="218">
        <f>N21</f>
        <v>144325.891</v>
      </c>
      <c r="O28" s="218">
        <f>O21</f>
        <v>145255.242</v>
      </c>
      <c r="P28" s="544">
        <f>AVERAGE(M28:O28)</f>
        <v>145939.53566666666</v>
      </c>
      <c r="Q28" s="531">
        <f>Q21</f>
        <v>158247.17800000001</v>
      </c>
      <c r="R28" s="531">
        <f>R21</f>
        <v>152314.65399999998</v>
      </c>
      <c r="S28" s="531">
        <f>S21</f>
        <v>154959.261</v>
      </c>
      <c r="T28" s="544">
        <f>AVERAGE(Q28:S28)</f>
        <v>155173.69766666667</v>
      </c>
      <c r="U28" s="571">
        <f>SUM(E28:G28,I28:K28,M28:O28,Q28:S28)</f>
        <v>1798544.8470000001</v>
      </c>
      <c r="V28" s="571">
        <f>AVERAGE(E28:G28,I28:K28,M28:O28,Q28:S28)</f>
        <v>149878.73725000001</v>
      </c>
      <c r="W28" s="233"/>
      <c r="X28" s="233"/>
    </row>
    <row r="29" spans="1:24" ht="30" customHeight="1" x14ac:dyDescent="0.25">
      <c r="A29" s="706"/>
      <c r="B29" s="707"/>
      <c r="C29" s="689" t="s">
        <v>20</v>
      </c>
      <c r="D29" s="690" t="s">
        <v>16</v>
      </c>
      <c r="E29" s="496">
        <f>E28/E7</f>
        <v>6897.6229523809525</v>
      </c>
      <c r="F29" s="496">
        <f>F28/F7</f>
        <v>7059.5932499999999</v>
      </c>
      <c r="G29" s="496">
        <f>G28/G7</f>
        <v>6931.0406521739133</v>
      </c>
      <c r="H29" s="543">
        <f>SUM(E28:G28)/SUM(E7:G7)</f>
        <v>6960.2481562499997</v>
      </c>
      <c r="I29" s="496">
        <f>I28/I7</f>
        <v>7676.497157894737</v>
      </c>
      <c r="J29" s="496">
        <f>J28/J7</f>
        <v>7317.4774285714293</v>
      </c>
      <c r="K29" s="496">
        <f>K28/K7</f>
        <v>7153.7520476190475</v>
      </c>
      <c r="L29" s="497">
        <f>SUM(I28:K28)/SUM(I7:K7)</f>
        <v>7372.9387704918036</v>
      </c>
      <c r="M29" s="496">
        <f>M28/M7</f>
        <v>7058.9273333333331</v>
      </c>
      <c r="N29" s="496">
        <f>N28/N7</f>
        <v>6560.267772727273</v>
      </c>
      <c r="O29" s="496">
        <f>O28/O7</f>
        <v>6916.9162857142856</v>
      </c>
      <c r="P29" s="543">
        <f>SUM(M28:O28)/SUM(M7:O7)</f>
        <v>6840.9157343749994</v>
      </c>
      <c r="Q29" s="496">
        <f>Q28/Q7</f>
        <v>7193.0535454545461</v>
      </c>
      <c r="R29" s="496">
        <f>R28/R7</f>
        <v>7253.0787619047605</v>
      </c>
      <c r="S29" s="496">
        <f>S28/S7</f>
        <v>8155.750578947368</v>
      </c>
      <c r="T29" s="543">
        <f>SUM(Q28:S28)/SUM(Q7:S7)</f>
        <v>7508.4047258064511</v>
      </c>
      <c r="U29" s="568" t="s">
        <v>11</v>
      </c>
      <c r="V29" s="569">
        <f>U28/U7</f>
        <v>7165.5173187251003</v>
      </c>
      <c r="W29" s="233"/>
      <c r="X29" s="233"/>
    </row>
    <row r="30" spans="1:24" ht="30" customHeight="1" x14ac:dyDescent="0.25">
      <c r="A30" s="705"/>
      <c r="B30" s="705"/>
      <c r="C30" s="703" t="s">
        <v>22</v>
      </c>
      <c r="D30" s="704" t="s">
        <v>219</v>
      </c>
      <c r="E30" s="221">
        <f>E31/E28*1000</f>
        <v>2609.4276494783071</v>
      </c>
      <c r="F30" s="221">
        <f>F31/F28*1000</f>
        <v>2448.7569591916649</v>
      </c>
      <c r="G30" s="221">
        <f>G31/G28*1000</f>
        <v>2532.5495917279754</v>
      </c>
      <c r="H30" s="545">
        <f>SUM(E31:G31)/SUM(E28:G28)*1000</f>
        <v>2530.9892911011107</v>
      </c>
      <c r="I30" s="221">
        <f>I31/I28*1000</f>
        <v>2600.3097108860902</v>
      </c>
      <c r="J30" s="221">
        <f>J31/J28*1000</f>
        <v>2569.7361325909951</v>
      </c>
      <c r="K30" s="221">
        <f>K31/K28*1000</f>
        <v>2619.348629127307</v>
      </c>
      <c r="L30" s="551">
        <f>SUM(I31:K31)/SUM(I28:K28)*1000</f>
        <v>2596.2230846558468</v>
      </c>
      <c r="M30" s="221">
        <f>M31/M28*1000</f>
        <v>2666.1110941488387</v>
      </c>
      <c r="N30" s="221">
        <f>N31/N28*1000</f>
        <v>2761.1756230210967</v>
      </c>
      <c r="O30" s="221">
        <f>O31/O28*1000</f>
        <v>2677.3289255887921</v>
      </c>
      <c r="P30" s="545">
        <f>SUM(M31:O31)/SUM(M28:O28)*1000</f>
        <v>2701.1706402875661</v>
      </c>
      <c r="Q30" s="532">
        <f>Q31/Q28*1000</f>
        <v>2712.5967137309704</v>
      </c>
      <c r="R30" s="532">
        <f>R31/R28*1000</f>
        <v>2748.7984576979711</v>
      </c>
      <c r="S30" s="532">
        <f>S31/S28*1000</f>
        <v>2822.7867516740421</v>
      </c>
      <c r="T30" s="545">
        <f>SUM(Q31:S31)/SUM(Q28:S28)*1000</f>
        <v>2761.1208800800787</v>
      </c>
      <c r="U30" s="664" t="s">
        <v>11</v>
      </c>
      <c r="V30" s="603">
        <f>U31/U28*1000</f>
        <v>2648.2944120325287</v>
      </c>
      <c r="W30" s="233"/>
      <c r="X30" s="233"/>
    </row>
    <row r="31" spans="1:24" ht="30" customHeight="1" x14ac:dyDescent="0.25">
      <c r="A31" s="706"/>
      <c r="B31" s="707"/>
      <c r="C31" s="687" t="s">
        <v>26</v>
      </c>
      <c r="D31" s="688" t="s">
        <v>9</v>
      </c>
      <c r="E31" s="524">
        <f>E15</f>
        <v>377975.80900000007</v>
      </c>
      <c r="F31" s="524">
        <f>F15</f>
        <v>345744.56200000003</v>
      </c>
      <c r="G31" s="524">
        <f>G15</f>
        <v>403723.696</v>
      </c>
      <c r="H31" s="542">
        <f>AVERAGE(E31:G31)</f>
        <v>375814.68900000001</v>
      </c>
      <c r="I31" s="524">
        <f>I15</f>
        <v>379264.13199999998</v>
      </c>
      <c r="J31" s="524">
        <f>J15</f>
        <v>394883.70909999998</v>
      </c>
      <c r="K31" s="524">
        <f>K15</f>
        <v>393501.58299999998</v>
      </c>
      <c r="L31" s="550">
        <f>AVERAGE(I31:K31)</f>
        <v>389216.47469999996</v>
      </c>
      <c r="M31" s="524">
        <f>M15</f>
        <v>395217.57400000002</v>
      </c>
      <c r="N31" s="524">
        <f>N15</f>
        <v>398509.13199999993</v>
      </c>
      <c r="O31" s="524">
        <f>O15</f>
        <v>388896.06099999999</v>
      </c>
      <c r="P31" s="542">
        <f>AVERAGE(M31:O31)</f>
        <v>394207.58899999998</v>
      </c>
      <c r="Q31" s="524">
        <f>Q15</f>
        <v>429260.77499999997</v>
      </c>
      <c r="R31" s="524">
        <f>R15</f>
        <v>418682.28600000002</v>
      </c>
      <c r="S31" s="524">
        <f>S15</f>
        <v>437416.94900000002</v>
      </c>
      <c r="T31" s="542">
        <f>AVERAGE(Q31:S31)</f>
        <v>428453.33666666667</v>
      </c>
      <c r="U31" s="567">
        <f>SUM(E31:G31,I31:K31,M31:O31,Q31:S31)</f>
        <v>4763076.2681</v>
      </c>
      <c r="V31" s="567">
        <f>AVERAGE(E31:G31,I31:K31,M31:O31,Q31:S31)</f>
        <v>396923.02234166668</v>
      </c>
      <c r="W31" s="233"/>
      <c r="X31" s="233"/>
    </row>
    <row r="32" spans="1:24" ht="33" customHeight="1" x14ac:dyDescent="0.25">
      <c r="A32" s="708"/>
      <c r="B32" s="708"/>
      <c r="C32" s="709" t="s">
        <v>20</v>
      </c>
      <c r="D32" s="710" t="s">
        <v>9</v>
      </c>
      <c r="E32" s="770">
        <f>E31/E7</f>
        <v>17998.848047619053</v>
      </c>
      <c r="F32" s="771">
        <f>F31/F7</f>
        <v>17287.2281</v>
      </c>
      <c r="G32" s="771">
        <f>G31/G7</f>
        <v>17553.204173913044</v>
      </c>
      <c r="H32" s="772">
        <f>SUM(E31:G31)/SUM(E7:G7)</f>
        <v>17616.313546875001</v>
      </c>
      <c r="I32" s="771">
        <f>I31/I7</f>
        <v>19961.270105263156</v>
      </c>
      <c r="J32" s="771">
        <f>J31/J7</f>
        <v>18803.986147619045</v>
      </c>
      <c r="K32" s="771">
        <f>K31/K7</f>
        <v>18738.170619047618</v>
      </c>
      <c r="L32" s="773">
        <f>SUM(I31:K31)/SUM(I7:K7)</f>
        <v>19141.793837704918</v>
      </c>
      <c r="M32" s="771">
        <f>M31/M7</f>
        <v>18819.884476190477</v>
      </c>
      <c r="N32" s="771">
        <f>N31/N7</f>
        <v>18114.05145454545</v>
      </c>
      <c r="O32" s="771">
        <f>O31/O7</f>
        <v>18518.860047619048</v>
      </c>
      <c r="P32" s="772">
        <f>SUM(M31:O31)/SUM(M7:O7)</f>
        <v>18478.480734375</v>
      </c>
      <c r="Q32" s="774">
        <f>Q31/Q7</f>
        <v>19511.853409090909</v>
      </c>
      <c r="R32" s="774">
        <f>R31/R7</f>
        <v>19937.251714285714</v>
      </c>
      <c r="S32" s="774">
        <f>S31/S7</f>
        <v>23021.944684210528</v>
      </c>
      <c r="T32" s="772">
        <f>SUM(Q31:S31)/SUM(Q7:S7)</f>
        <v>20731.613064516128</v>
      </c>
      <c r="U32" s="775" t="s">
        <v>11</v>
      </c>
      <c r="V32" s="776">
        <f>U31/U7</f>
        <v>18976.399474501992</v>
      </c>
      <c r="W32" s="233"/>
      <c r="X32" s="233"/>
    </row>
    <row r="33" spans="1:24" s="135" customFormat="1" ht="30" customHeight="1" x14ac:dyDescent="0.25">
      <c r="A33" s="325"/>
      <c r="B33" s="119"/>
      <c r="C33" s="2"/>
      <c r="D33" s="326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50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490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500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7">
    <mergeCell ref="B13:B14"/>
    <mergeCell ref="A3:V3"/>
    <mergeCell ref="A4:V4"/>
    <mergeCell ref="B5:C6"/>
    <mergeCell ref="B7:C7"/>
    <mergeCell ref="B8:C8"/>
    <mergeCell ref="B11:B12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2057"/>
  <sheetViews>
    <sheetView view="pageBreakPreview" topLeftCell="A5" zoomScale="70" zoomScaleNormal="60" zoomScaleSheetLayoutView="70" workbookViewId="0">
      <pane xSplit="4" ySplit="2" topLeftCell="E16" activePane="bottomRight" state="frozen"/>
      <selection activeCell="C34" sqref="C34"/>
      <selection pane="topRight" activeCell="C34" sqref="C34"/>
      <selection pane="bottomLeft" activeCell="C34" sqref="C34"/>
      <selection pane="bottomRight" activeCell="C34" sqref="C34"/>
    </sheetView>
  </sheetViews>
  <sheetFormatPr defaultColWidth="9.09765625" defaultRowHeight="11.5" x14ac:dyDescent="0.25"/>
  <cols>
    <col min="1" max="1" width="4.8984375" style="3" customWidth="1"/>
    <col min="2" max="2" width="19.69921875" style="3" customWidth="1"/>
    <col min="3" max="3" width="40" style="3" customWidth="1"/>
    <col min="4" max="4" width="10" style="3" customWidth="1"/>
    <col min="5" max="5" width="16" style="37" customWidth="1"/>
    <col min="6" max="7" width="15.8984375" style="37" customWidth="1"/>
    <col min="8" max="8" width="18" style="37" customWidth="1"/>
    <col min="9" max="9" width="15.8984375" style="37" customWidth="1"/>
    <col min="10" max="10" width="16" style="37" customWidth="1"/>
    <col min="11" max="11" width="15.8984375" style="37" customWidth="1"/>
    <col min="12" max="12" width="17.3984375" style="37" customWidth="1"/>
    <col min="13" max="15" width="16.69921875" style="37" customWidth="1"/>
    <col min="16" max="16" width="17.09765625" style="37" customWidth="1"/>
    <col min="17" max="19" width="15.8984375" style="37" customWidth="1"/>
    <col min="20" max="20" width="16.69921875" style="37" customWidth="1"/>
    <col min="21" max="21" width="18.296875" style="37" customWidth="1"/>
    <col min="22" max="22" width="16.296875" style="37" customWidth="1"/>
    <col min="23" max="23" width="28" style="3" customWidth="1"/>
    <col min="24" max="16384" width="9.09765625" style="3"/>
  </cols>
  <sheetData>
    <row r="1" spans="1:24" ht="17.5" x14ac:dyDescent="0.35">
      <c r="A1" s="18" t="s">
        <v>41</v>
      </c>
      <c r="B1" s="18"/>
      <c r="C1" s="18"/>
      <c r="V1" s="38"/>
    </row>
    <row r="2" spans="1:24" ht="17.5" x14ac:dyDescent="0.35">
      <c r="A2" s="18" t="s">
        <v>0</v>
      </c>
      <c r="B2" s="18"/>
      <c r="C2" s="18"/>
      <c r="K2" s="588"/>
    </row>
    <row r="3" spans="1:24" ht="19.5" customHeight="1" x14ac:dyDescent="0.4">
      <c r="A3" s="958" t="s">
        <v>42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</row>
    <row r="4" spans="1:24" s="134" customFormat="1" ht="24" customHeight="1" x14ac:dyDescent="0.25">
      <c r="A4" s="959" t="s">
        <v>302</v>
      </c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</row>
    <row r="5" spans="1:24" ht="42" customHeight="1" thickBot="1" x14ac:dyDescent="0.45">
      <c r="A5" s="662" t="s">
        <v>1</v>
      </c>
      <c r="B5" s="973" t="s">
        <v>2</v>
      </c>
      <c r="C5" s="974"/>
      <c r="D5" s="665" t="s">
        <v>3</v>
      </c>
      <c r="E5" s="666" t="s">
        <v>303</v>
      </c>
      <c r="F5" s="666" t="s">
        <v>304</v>
      </c>
      <c r="G5" s="666" t="s">
        <v>305</v>
      </c>
      <c r="H5" s="666" t="s">
        <v>306</v>
      </c>
      <c r="I5" s="666" t="s">
        <v>307</v>
      </c>
      <c r="J5" s="666" t="s">
        <v>308</v>
      </c>
      <c r="K5" s="666" t="s">
        <v>309</v>
      </c>
      <c r="L5" s="666" t="s">
        <v>310</v>
      </c>
      <c r="M5" s="666" t="s">
        <v>311</v>
      </c>
      <c r="N5" s="666" t="s">
        <v>312</v>
      </c>
      <c r="O5" s="666" t="s">
        <v>313</v>
      </c>
      <c r="P5" s="666" t="s">
        <v>314</v>
      </c>
      <c r="Q5" s="666" t="s">
        <v>315</v>
      </c>
      <c r="R5" s="666" t="s">
        <v>316</v>
      </c>
      <c r="S5" s="666" t="s">
        <v>317</v>
      </c>
      <c r="T5" s="666" t="s">
        <v>318</v>
      </c>
      <c r="U5" s="667" t="s">
        <v>46</v>
      </c>
      <c r="V5" s="668" t="s">
        <v>58</v>
      </c>
      <c r="W5" s="233"/>
      <c r="X5" s="233"/>
    </row>
    <row r="6" spans="1:24" ht="44.25" customHeight="1" thickTop="1" x14ac:dyDescent="0.35">
      <c r="A6" s="663"/>
      <c r="B6" s="975"/>
      <c r="C6" s="976"/>
      <c r="D6" s="590" t="s">
        <v>4</v>
      </c>
      <c r="E6" s="583"/>
      <c r="F6" s="583"/>
      <c r="G6" s="583"/>
      <c r="H6" s="584" t="s">
        <v>45</v>
      </c>
      <c r="I6" s="585"/>
      <c r="J6" s="585"/>
      <c r="K6" s="585"/>
      <c r="L6" s="584" t="s">
        <v>45</v>
      </c>
      <c r="M6" s="585"/>
      <c r="N6" s="585"/>
      <c r="O6" s="585"/>
      <c r="P6" s="584" t="s">
        <v>45</v>
      </c>
      <c r="Q6" s="585"/>
      <c r="R6" s="585"/>
      <c r="S6" s="585"/>
      <c r="T6" s="584" t="s">
        <v>45</v>
      </c>
      <c r="U6" s="586" t="s">
        <v>53</v>
      </c>
      <c r="V6" s="587" t="s">
        <v>53</v>
      </c>
      <c r="W6" s="233"/>
      <c r="X6" s="233"/>
    </row>
    <row r="7" spans="1:24" ht="30" customHeight="1" x14ac:dyDescent="0.25">
      <c r="A7" s="671" t="s">
        <v>5</v>
      </c>
      <c r="B7" s="977" t="s">
        <v>6</v>
      </c>
      <c r="C7" s="977"/>
      <c r="D7" s="672"/>
      <c r="E7" s="326">
        <v>19</v>
      </c>
      <c r="F7" s="326">
        <v>21</v>
      </c>
      <c r="G7" s="326">
        <v>22</v>
      </c>
      <c r="H7" s="536">
        <f t="shared" ref="H7:H15" si="0">AVERAGE(E7:G7)</f>
        <v>20.666666666666668</v>
      </c>
      <c r="I7" s="326">
        <v>21</v>
      </c>
      <c r="J7" s="326">
        <v>20</v>
      </c>
      <c r="K7" s="326">
        <v>22</v>
      </c>
      <c r="L7" s="548">
        <f>AVERAGE(I7:K7)</f>
        <v>21</v>
      </c>
      <c r="M7" s="326">
        <v>21</v>
      </c>
      <c r="N7" s="326">
        <v>22</v>
      </c>
      <c r="O7" s="326">
        <v>22</v>
      </c>
      <c r="P7" s="536">
        <f>AVERAGE(M7:O7)</f>
        <v>21.666666666666668</v>
      </c>
      <c r="Q7" s="502">
        <v>21</v>
      </c>
      <c r="R7" s="502">
        <v>20</v>
      </c>
      <c r="S7" s="502">
        <v>21</v>
      </c>
      <c r="T7" s="536">
        <f>AVERAGE(Q7:S7)</f>
        <v>20.666666666666668</v>
      </c>
      <c r="U7" s="553">
        <f>SUM(E7:G7,I7:K7,M7:O7,Q7:S7)</f>
        <v>252</v>
      </c>
      <c r="V7" s="554">
        <f>AVERAGE(E7:G7,I7:K7,M7:O7,Q7:S7)</f>
        <v>21</v>
      </c>
      <c r="W7" s="233"/>
      <c r="X7" s="233"/>
    </row>
    <row r="8" spans="1:24" ht="30" customHeight="1" x14ac:dyDescent="0.25">
      <c r="A8" s="673" t="s">
        <v>7</v>
      </c>
      <c r="B8" s="978" t="s">
        <v>40</v>
      </c>
      <c r="C8" s="978"/>
      <c r="D8" s="674"/>
      <c r="E8" s="504">
        <v>40</v>
      </c>
      <c r="F8" s="504">
        <v>40</v>
      </c>
      <c r="G8" s="504">
        <v>40</v>
      </c>
      <c r="H8" s="537">
        <f t="shared" si="0"/>
        <v>40</v>
      </c>
      <c r="I8" s="504">
        <v>40</v>
      </c>
      <c r="J8" s="504">
        <v>40</v>
      </c>
      <c r="K8" s="504">
        <v>40</v>
      </c>
      <c r="L8" s="549">
        <f>AVERAGE(I8:K8)</f>
        <v>40</v>
      </c>
      <c r="M8" s="504">
        <v>40</v>
      </c>
      <c r="N8" s="504">
        <v>40</v>
      </c>
      <c r="O8" s="504">
        <v>40</v>
      </c>
      <c r="P8" s="537">
        <f>AVERAGE(M8:O8)</f>
        <v>40</v>
      </c>
      <c r="Q8" s="505">
        <v>40</v>
      </c>
      <c r="R8" s="505">
        <v>41</v>
      </c>
      <c r="S8" s="505">
        <v>41</v>
      </c>
      <c r="T8" s="537">
        <f>AVERAGE(Q8:S8)</f>
        <v>40.666666666666664</v>
      </c>
      <c r="U8" s="555" t="s">
        <v>11</v>
      </c>
      <c r="V8" s="556">
        <f>AVERAGE(E8:G8,I8:K8,M8:O8,Q8:S8)</f>
        <v>40.166666666666664</v>
      </c>
      <c r="W8" s="233"/>
      <c r="X8" s="233"/>
    </row>
    <row r="9" spans="1:24" ht="33.75" customHeight="1" x14ac:dyDescent="0.35">
      <c r="A9" s="671" t="s">
        <v>12</v>
      </c>
      <c r="B9" s="675" t="s">
        <v>27</v>
      </c>
      <c r="C9" s="676" t="s">
        <v>181</v>
      </c>
      <c r="D9" s="677" t="s">
        <v>9</v>
      </c>
      <c r="E9" s="444">
        <v>146462.40700000001</v>
      </c>
      <c r="F9" s="444">
        <v>146952.95300000001</v>
      </c>
      <c r="G9" s="444">
        <v>158174.23199999999</v>
      </c>
      <c r="H9" s="538">
        <f t="shared" si="0"/>
        <v>150529.86399999997</v>
      </c>
      <c r="I9" s="444">
        <v>160523.321</v>
      </c>
      <c r="J9" s="444">
        <v>159277.29300000001</v>
      </c>
      <c r="K9" s="444">
        <v>159716.698</v>
      </c>
      <c r="L9" s="493">
        <f>AVERAGE(I9:K9)</f>
        <v>159839.10400000002</v>
      </c>
      <c r="M9" s="669">
        <v>158508.61499999999</v>
      </c>
      <c r="N9" s="444">
        <v>161812.97</v>
      </c>
      <c r="O9" s="670">
        <v>160845.85</v>
      </c>
      <c r="P9" s="538">
        <f>AVERAGE(M9:O9)</f>
        <v>160389.14499999999</v>
      </c>
      <c r="Q9" s="508">
        <v>166979.29699999999</v>
      </c>
      <c r="R9" s="508">
        <v>160825.89600000001</v>
      </c>
      <c r="S9" s="508">
        <v>179990.81200000001</v>
      </c>
      <c r="T9" s="538">
        <f>AVERAGE(Q9:S9)</f>
        <v>169265.33499999999</v>
      </c>
      <c r="U9" s="557">
        <f>SUM(E9:G9,I9:K9,M9:O9,Q9:S9)</f>
        <v>1920070.3439999998</v>
      </c>
      <c r="V9" s="558">
        <f>AVERAGE(E9:G9,I9:K9,M9:O9,Q9:S9)</f>
        <v>160005.86199999999</v>
      </c>
      <c r="W9" s="317"/>
      <c r="X9" s="233"/>
    </row>
    <row r="10" spans="1:24" ht="30" customHeight="1" x14ac:dyDescent="0.35">
      <c r="A10" s="671"/>
      <c r="B10" s="678" t="s">
        <v>28</v>
      </c>
      <c r="C10" s="679" t="s">
        <v>10</v>
      </c>
      <c r="D10" s="680"/>
      <c r="E10" s="512">
        <f>E9/E15</f>
        <v>0.43478907005857925</v>
      </c>
      <c r="F10" s="512">
        <f t="shared" ref="F10:G10" si="1">F9/F15</f>
        <v>0.43431940338463171</v>
      </c>
      <c r="G10" s="512">
        <f t="shared" si="1"/>
        <v>0.43086660832131063</v>
      </c>
      <c r="H10" s="539">
        <f t="shared" si="0"/>
        <v>0.43332502725484057</v>
      </c>
      <c r="I10" s="513">
        <f>I9/I15</f>
        <v>0.43427679918843753</v>
      </c>
      <c r="J10" s="513">
        <f>J9/J15</f>
        <v>0.44085547110965601</v>
      </c>
      <c r="K10" s="513">
        <f>K9/K15</f>
        <v>0.42580651325796331</v>
      </c>
      <c r="L10" s="492">
        <f>SUM(I9:K9)/SUM(I15:K15)</f>
        <v>0.43355319340574522</v>
      </c>
      <c r="M10" s="513">
        <f>M9/M15</f>
        <v>0.43235101928850378</v>
      </c>
      <c r="N10" s="513">
        <f>N9/N15</f>
        <v>0.43816458577059203</v>
      </c>
      <c r="O10" s="513">
        <f>O9/O15</f>
        <v>0.43729532586007286</v>
      </c>
      <c r="P10" s="539">
        <f>SUM(M9:O9)/SUM(M15:O15)</f>
        <v>0.4359438561370611</v>
      </c>
      <c r="Q10" s="513">
        <f>Q9/Q15</f>
        <v>0.43949269853293071</v>
      </c>
      <c r="R10" s="513">
        <f>R9/R15</f>
        <v>0.42205897794762065</v>
      </c>
      <c r="S10" s="513">
        <f>S9/S15</f>
        <v>0.43961543702435307</v>
      </c>
      <c r="T10" s="539">
        <f>SUM(Q9:S9)/SUM(Q15:S15)</f>
        <v>0.43385975679925604</v>
      </c>
      <c r="U10" s="559" t="s">
        <v>11</v>
      </c>
      <c r="V10" s="560">
        <f>U9/U15</f>
        <v>0.43416071790082988</v>
      </c>
      <c r="W10" s="448"/>
      <c r="X10" s="402"/>
    </row>
    <row r="11" spans="1:24" ht="33" customHeight="1" x14ac:dyDescent="0.35">
      <c r="A11" s="673"/>
      <c r="B11" s="979" t="s">
        <v>29</v>
      </c>
      <c r="C11" s="681" t="s">
        <v>181</v>
      </c>
      <c r="D11" s="682" t="s">
        <v>9</v>
      </c>
      <c r="E11" s="495">
        <v>117846.291</v>
      </c>
      <c r="F11" s="495">
        <v>118936.039</v>
      </c>
      <c r="G11" s="495">
        <v>128883.777</v>
      </c>
      <c r="H11" s="540">
        <f t="shared" si="0"/>
        <v>121888.70233333333</v>
      </c>
      <c r="I11" s="495">
        <v>128514.76700000001</v>
      </c>
      <c r="J11" s="495">
        <v>125259.66099999999</v>
      </c>
      <c r="K11" s="495">
        <v>133818.03599999999</v>
      </c>
      <c r="L11" s="494">
        <f>AVERAGE(I11:K11)</f>
        <v>129197.48800000001</v>
      </c>
      <c r="M11" s="600">
        <v>127857.69100000001</v>
      </c>
      <c r="N11" s="516">
        <v>130794.75599999999</v>
      </c>
      <c r="O11" s="516">
        <v>129102.67600000001</v>
      </c>
      <c r="P11" s="540">
        <f>AVERAGE(M11:O11)</f>
        <v>129251.70766666667</v>
      </c>
      <c r="Q11" s="495">
        <v>130844.376</v>
      </c>
      <c r="R11" s="495">
        <v>131196.86300000001</v>
      </c>
      <c r="S11" s="495">
        <v>142823.26500000001</v>
      </c>
      <c r="T11" s="540">
        <f>AVERAGE(Q11:S11)</f>
        <v>134954.83466666666</v>
      </c>
      <c r="U11" s="561">
        <f>SUM(E11:G11,I11:K11,M11:O11,Q11:S11)</f>
        <v>1545878.1979999999</v>
      </c>
      <c r="V11" s="562">
        <f>AVERAGE(E11:G11,I11:K11,M11:O11,Q11:S11)</f>
        <v>128823.18316666665</v>
      </c>
      <c r="W11" s="402"/>
      <c r="X11" s="233"/>
    </row>
    <row r="12" spans="1:24" ht="30" customHeight="1" x14ac:dyDescent="0.25">
      <c r="A12" s="673"/>
      <c r="B12" s="979"/>
      <c r="C12" s="683" t="s">
        <v>10</v>
      </c>
      <c r="D12" s="684"/>
      <c r="E12" s="512">
        <f>E11/E15</f>
        <v>0.34983911792288591</v>
      </c>
      <c r="F12" s="512">
        <f t="shared" ref="F12:G12" si="2">F11/F15</f>
        <v>0.3515154234390328</v>
      </c>
      <c r="G12" s="512">
        <f t="shared" si="2"/>
        <v>0.35107940883588518</v>
      </c>
      <c r="H12" s="541">
        <f t="shared" si="0"/>
        <v>0.35081131673260124</v>
      </c>
      <c r="I12" s="519">
        <f>I11/I15</f>
        <v>0.34768145409356338</v>
      </c>
      <c r="J12" s="519">
        <f>J11/J15</f>
        <v>0.3466998077446658</v>
      </c>
      <c r="K12" s="519">
        <f>K11/K15</f>
        <v>0.35676038907458885</v>
      </c>
      <c r="L12" s="491">
        <f>SUM(I11:K11)/SUM(I15:K15)</f>
        <v>0.35043979915203005</v>
      </c>
      <c r="M12" s="597">
        <f>M11/M15</f>
        <v>0.34874699414744464</v>
      </c>
      <c r="N12" s="519">
        <f t="shared" ref="N12:O12" si="3">N11/N15</f>
        <v>0.35417204247413325</v>
      </c>
      <c r="O12" s="519">
        <f t="shared" si="3"/>
        <v>0.35099442584827278</v>
      </c>
      <c r="P12" s="541">
        <f>SUM(M11:O11)/SUM(M15:O15)</f>
        <v>0.35131110557704404</v>
      </c>
      <c r="Q12" s="519">
        <f>Q11/Q15</f>
        <v>0.34438489638687031</v>
      </c>
      <c r="R12" s="519">
        <f>R11/R15</f>
        <v>0.34430284727102661</v>
      </c>
      <c r="S12" s="519">
        <f>S11/S15</f>
        <v>0.34883620648491764</v>
      </c>
      <c r="T12" s="541">
        <f>SUM(Q11:S11)/SUM(Q15:S15)</f>
        <v>0.34591531542689358</v>
      </c>
      <c r="U12" s="563" t="s">
        <v>11</v>
      </c>
      <c r="V12" s="564">
        <f>U11/U15</f>
        <v>0.34954947891790433</v>
      </c>
      <c r="W12" s="402"/>
      <c r="X12" s="233"/>
    </row>
    <row r="13" spans="1:24" ht="33" customHeight="1" x14ac:dyDescent="0.35">
      <c r="A13" s="671"/>
      <c r="B13" s="969" t="s">
        <v>30</v>
      </c>
      <c r="C13" s="676" t="s">
        <v>181</v>
      </c>
      <c r="D13" s="677" t="s">
        <v>9</v>
      </c>
      <c r="E13" s="444">
        <v>71426.944000000003</v>
      </c>
      <c r="F13" s="444">
        <v>71247.822</v>
      </c>
      <c r="G13" s="444">
        <v>78684.532999999996</v>
      </c>
      <c r="H13" s="538">
        <f t="shared" si="0"/>
        <v>73786.433000000005</v>
      </c>
      <c r="I13" s="444">
        <v>79271.13</v>
      </c>
      <c r="J13" s="444">
        <v>75294.27</v>
      </c>
      <c r="K13" s="444">
        <v>80118.570000000007</v>
      </c>
      <c r="L13" s="493">
        <f>AVERAGE(I13:K13)</f>
        <v>78227.990000000005</v>
      </c>
      <c r="M13" s="669">
        <v>78940.494999999995</v>
      </c>
      <c r="N13" s="200">
        <v>75252.679999999993</v>
      </c>
      <c r="O13" s="200">
        <v>76488.803</v>
      </c>
      <c r="P13" s="538">
        <f>AVERAGE(M13:O13)</f>
        <v>76893.992666666672</v>
      </c>
      <c r="Q13" s="508">
        <v>80737.179999999993</v>
      </c>
      <c r="R13" s="508">
        <v>87495.705000000002</v>
      </c>
      <c r="S13" s="508">
        <v>85230.192999999999</v>
      </c>
      <c r="T13" s="538">
        <f>AVERAGE(Q13:S13)</f>
        <v>84487.69266666667</v>
      </c>
      <c r="U13" s="557">
        <f>SUM(E13:G13,I13:K13,M13:O13,Q13:S13)</f>
        <v>940188.32499999984</v>
      </c>
      <c r="V13" s="558">
        <f>AVERAGE(E13:G13,I13:K13,M13:O13,Q13:S13)</f>
        <v>78349.02708333332</v>
      </c>
      <c r="W13" s="402"/>
      <c r="X13" s="233"/>
    </row>
    <row r="14" spans="1:24" ht="30" customHeight="1" x14ac:dyDescent="0.25">
      <c r="A14" s="671"/>
      <c r="B14" s="969"/>
      <c r="C14" s="685" t="s">
        <v>10</v>
      </c>
      <c r="D14" s="686"/>
      <c r="E14" s="512">
        <f>E13/E15</f>
        <v>0.21203840080879058</v>
      </c>
      <c r="F14" s="512">
        <f t="shared" ref="F14:G14" si="4">F13/F15</f>
        <v>0.21057291406382583</v>
      </c>
      <c r="G14" s="512">
        <f t="shared" si="4"/>
        <v>0.21433666806775609</v>
      </c>
      <c r="H14" s="539">
        <f t="shared" si="0"/>
        <v>0.21231599431345749</v>
      </c>
      <c r="I14" s="521">
        <f>I13/I15</f>
        <v>0.214458636850969</v>
      </c>
      <c r="J14" s="521">
        <f>J13/J15</f>
        <v>0.20840315808674398</v>
      </c>
      <c r="K14" s="521">
        <f>K13/K15</f>
        <v>0.21359700874177892</v>
      </c>
      <c r="L14" s="492">
        <f>SUM(I13:K13)/SUM(I15:K15)</f>
        <v>0.21218834458814723</v>
      </c>
      <c r="M14" s="521">
        <f>M13/M15</f>
        <v>0.21531954888627999</v>
      </c>
      <c r="N14" s="521">
        <f t="shared" ref="N14:O14" si="5">N13/N15</f>
        <v>0.20377266025292604</v>
      </c>
      <c r="O14" s="521">
        <f t="shared" si="5"/>
        <v>0.20795187462114764</v>
      </c>
      <c r="P14" s="539">
        <f>SUM(M13:O13)/SUM(M15:O15)</f>
        <v>0.20900082531696001</v>
      </c>
      <c r="Q14" s="513">
        <f>Q13/Q15</f>
        <v>0.21250179961015744</v>
      </c>
      <c r="R14" s="513">
        <f>R13/R15</f>
        <v>0.22961692579102136</v>
      </c>
      <c r="S14" s="513">
        <f>S13/S15</f>
        <v>0.20816900666776789</v>
      </c>
      <c r="T14" s="539">
        <f>SUM(Q13:S13)/SUM(Q15:S15)</f>
        <v>0.21655827989168774</v>
      </c>
      <c r="U14" s="565" t="s">
        <v>11</v>
      </c>
      <c r="V14" s="566">
        <f>U13/U15</f>
        <v>0.21259264767019326</v>
      </c>
      <c r="W14" s="233"/>
      <c r="X14" s="233"/>
    </row>
    <row r="15" spans="1:24" ht="33" customHeight="1" x14ac:dyDescent="0.25">
      <c r="A15" s="673" t="s">
        <v>17</v>
      </c>
      <c r="B15" s="687" t="s">
        <v>13</v>
      </c>
      <c r="C15" s="687" t="s">
        <v>8</v>
      </c>
      <c r="D15" s="688" t="s">
        <v>9</v>
      </c>
      <c r="E15" s="524">
        <f>E17+E19</f>
        <v>336858.52999999997</v>
      </c>
      <c r="F15" s="524">
        <f t="shared" ref="F15:G15" si="6">F17+F19</f>
        <v>338352.26300000004</v>
      </c>
      <c r="G15" s="524">
        <f t="shared" si="6"/>
        <v>367107.19499999995</v>
      </c>
      <c r="H15" s="542">
        <f t="shared" si="0"/>
        <v>347439.32933333336</v>
      </c>
      <c r="I15" s="524">
        <f>I17+I19</f>
        <v>369633.65600000002</v>
      </c>
      <c r="J15" s="524">
        <f>J17+J19</f>
        <v>361291.40600000002</v>
      </c>
      <c r="K15" s="524">
        <f>K17+K19</f>
        <v>375092.19099999999</v>
      </c>
      <c r="L15" s="550">
        <f>AVERAGE(I15:K15)</f>
        <v>368672.41766666668</v>
      </c>
      <c r="M15" s="524">
        <f>M17+M19</f>
        <v>366620.19499999995</v>
      </c>
      <c r="N15" s="524">
        <f t="shared" ref="N15:O15" si="7">N17+N19</f>
        <v>369297.23500000004</v>
      </c>
      <c r="O15" s="524">
        <f t="shared" si="7"/>
        <v>367819.73300000001</v>
      </c>
      <c r="P15" s="542">
        <f>AVERAGE(M15:O15)</f>
        <v>367912.38766666665</v>
      </c>
      <c r="Q15" s="524">
        <f>Q17+Q19</f>
        <v>379936.45299999998</v>
      </c>
      <c r="R15" s="524">
        <f>R17+R19</f>
        <v>381050.76400000002</v>
      </c>
      <c r="S15" s="524">
        <f>S17+S19</f>
        <v>409427.87</v>
      </c>
      <c r="T15" s="542">
        <f>AVERAGE(Q15:S15)</f>
        <v>390138.36233333329</v>
      </c>
      <c r="U15" s="567">
        <f>SUM(E15:G15,I15:K15,M15:O15,Q15:S15)</f>
        <v>4422487.4909999995</v>
      </c>
      <c r="V15" s="567">
        <f>AVERAGE(E15:G15,I15:K15,M15:O15,Q15:S15)</f>
        <v>368540.62424999994</v>
      </c>
      <c r="W15" s="317"/>
      <c r="X15" s="233"/>
    </row>
    <row r="16" spans="1:24" ht="30" customHeight="1" x14ac:dyDescent="0.25">
      <c r="A16" s="673"/>
      <c r="B16" s="689" t="s">
        <v>14</v>
      </c>
      <c r="C16" s="689" t="s">
        <v>15</v>
      </c>
      <c r="D16" s="690" t="s">
        <v>9</v>
      </c>
      <c r="E16" s="496">
        <f>E15/E7</f>
        <v>17729.396315789472</v>
      </c>
      <c r="F16" s="496">
        <f t="shared" ref="F16:G16" si="8">F15/F7</f>
        <v>16112.012523809526</v>
      </c>
      <c r="G16" s="496">
        <f t="shared" si="8"/>
        <v>16686.690681818178</v>
      </c>
      <c r="H16" s="543">
        <f>SUM(E15:G15)/SUM(E7:G7)</f>
        <v>16811.580451612903</v>
      </c>
      <c r="I16" s="496">
        <f>I15/I7</f>
        <v>17601.602666666666</v>
      </c>
      <c r="J16" s="496">
        <f>J15/J7</f>
        <v>18064.570299999999</v>
      </c>
      <c r="K16" s="496">
        <f>K15/K7</f>
        <v>17049.645045454545</v>
      </c>
      <c r="L16" s="497">
        <f>SUM(I15:K15)/SUM(I7:K7)</f>
        <v>17555.829412698415</v>
      </c>
      <c r="M16" s="496">
        <f>M15/M7</f>
        <v>17458.104523809521</v>
      </c>
      <c r="N16" s="496">
        <f t="shared" ref="N16:O16" si="9">N15/N7</f>
        <v>16786.237954545457</v>
      </c>
      <c r="O16" s="496">
        <f t="shared" si="9"/>
        <v>16719.078772727273</v>
      </c>
      <c r="P16" s="543">
        <f>SUM(M15:O15)/SUM(M7:O7)</f>
        <v>16980.571738461538</v>
      </c>
      <c r="Q16" s="496">
        <f>Q15/Q7</f>
        <v>18092.212047619047</v>
      </c>
      <c r="R16" s="496">
        <f>R15/R7</f>
        <v>19052.538200000003</v>
      </c>
      <c r="S16" s="496">
        <f>S15/S7</f>
        <v>19496.565238095238</v>
      </c>
      <c r="T16" s="543">
        <f>SUM(Q15:S15)/SUM(Q7:S7)</f>
        <v>18877.662693548384</v>
      </c>
      <c r="U16" s="568" t="s">
        <v>11</v>
      </c>
      <c r="V16" s="569">
        <f>U15/U7</f>
        <v>17549.553535714283</v>
      </c>
      <c r="W16" s="233"/>
      <c r="X16" s="233"/>
    </row>
    <row r="17" spans="1:24" s="27" customFormat="1" ht="33" customHeight="1" x14ac:dyDescent="0.35">
      <c r="A17" s="691"/>
      <c r="B17" s="692" t="s">
        <v>36</v>
      </c>
      <c r="C17" s="676" t="s">
        <v>8</v>
      </c>
      <c r="D17" s="677" t="s">
        <v>9</v>
      </c>
      <c r="E17" s="200">
        <f>E9+E11+E13</f>
        <v>335735.64199999999</v>
      </c>
      <c r="F17" s="200">
        <f t="shared" ref="F17:G17" si="10">F9+F11+F13</f>
        <v>337136.81400000001</v>
      </c>
      <c r="G17" s="200">
        <f t="shared" si="10"/>
        <v>365742.54199999996</v>
      </c>
      <c r="H17" s="538">
        <f>AVERAGE(E17:G17)</f>
        <v>346204.99933333328</v>
      </c>
      <c r="I17" s="200">
        <f>I9+I11+I13</f>
        <v>368309.21799999999</v>
      </c>
      <c r="J17" s="200">
        <f>J9+J11+J13</f>
        <v>359831.22400000005</v>
      </c>
      <c r="K17" s="200">
        <f>K9+K11+K13</f>
        <v>373653.304</v>
      </c>
      <c r="L17" s="493">
        <f>AVERAGE(I17:K17)</f>
        <v>367264.58199999999</v>
      </c>
      <c r="M17" s="200">
        <f>M9+M11+M13</f>
        <v>365306.80099999998</v>
      </c>
      <c r="N17" s="200">
        <f t="shared" ref="N17:O17" si="11">N9+N11+N13</f>
        <v>367860.40600000002</v>
      </c>
      <c r="O17" s="200">
        <f t="shared" si="11"/>
        <v>366437.32900000003</v>
      </c>
      <c r="P17" s="538">
        <f>AVERAGE(M17:O17)</f>
        <v>366534.8453333333</v>
      </c>
      <c r="Q17" s="200">
        <f>Q9+Q11+Q13</f>
        <v>378560.853</v>
      </c>
      <c r="R17" s="200">
        <f t="shared" ref="R17:S17" si="12">R9+R11+R13</f>
        <v>379518.46400000004</v>
      </c>
      <c r="S17" s="200">
        <f t="shared" si="12"/>
        <v>408044.27</v>
      </c>
      <c r="T17" s="538">
        <f>AVERAGE(Q17:S17)</f>
        <v>388707.86233333335</v>
      </c>
      <c r="U17" s="558">
        <f>SUM(E17:G17,I17:K17,M17:O17,Q17:S17)</f>
        <v>4406136.8670000006</v>
      </c>
      <c r="V17" s="558">
        <f>AVERAGE(E17:G17,I17:K17,M17:O17,Q18,Q18,Q17,Q17:S17)</f>
        <v>318979.98085058591</v>
      </c>
      <c r="W17" s="234"/>
      <c r="X17" s="234"/>
    </row>
    <row r="18" spans="1:24" s="25" customFormat="1" ht="30" customHeight="1" x14ac:dyDescent="0.25">
      <c r="A18" s="693"/>
      <c r="B18" s="694" t="s">
        <v>32</v>
      </c>
      <c r="C18" s="695" t="s">
        <v>10</v>
      </c>
      <c r="D18" s="686"/>
      <c r="E18" s="521">
        <f>E17/E15</f>
        <v>0.99666658879025571</v>
      </c>
      <c r="F18" s="521">
        <f t="shared" ref="F18:G18" si="13">F17/F15</f>
        <v>0.99640774088749029</v>
      </c>
      <c r="G18" s="521">
        <f t="shared" si="13"/>
        <v>0.99628268522495178</v>
      </c>
      <c r="H18" s="539">
        <f>AVERAGE(E18:G18)</f>
        <v>0.9964523383008993</v>
      </c>
      <c r="I18" s="521">
        <f>I17/I15</f>
        <v>0.99641689013296986</v>
      </c>
      <c r="J18" s="521">
        <f>J17/J15</f>
        <v>0.99595843694106589</v>
      </c>
      <c r="K18" s="521">
        <f>K17/K15</f>
        <v>0.99616391107433111</v>
      </c>
      <c r="L18" s="492">
        <f>SUM(I17:K17)/SUM(I15:K15)</f>
        <v>0.9961813371459225</v>
      </c>
      <c r="M18" s="521">
        <f>M17/M15</f>
        <v>0.99641756232222845</v>
      </c>
      <c r="N18" s="521">
        <f t="shared" ref="N18:O18" si="14">N17/N15</f>
        <v>0.99610928849765146</v>
      </c>
      <c r="O18" s="521">
        <f t="shared" si="14"/>
        <v>0.99624162632949331</v>
      </c>
      <c r="P18" s="539">
        <f>SUM(M17:O17)/SUM(M15:O15)</f>
        <v>0.99625578703106499</v>
      </c>
      <c r="Q18" s="513">
        <f>Q17/Q15</f>
        <v>0.9963793945299585</v>
      </c>
      <c r="R18" s="513">
        <f>R17/R15</f>
        <v>0.99597875100966871</v>
      </c>
      <c r="S18" s="513">
        <f>S17/S15</f>
        <v>0.9966206501770386</v>
      </c>
      <c r="T18" s="539">
        <f>SUM(Q17:S17)/SUM(Q15:S15)</f>
        <v>0.99633335211783736</v>
      </c>
      <c r="U18" s="565" t="s">
        <v>11</v>
      </c>
      <c r="V18" s="566">
        <f>U17/U15</f>
        <v>0.9963028444889277</v>
      </c>
      <c r="W18" s="235"/>
      <c r="X18" s="235"/>
    </row>
    <row r="19" spans="1:24" s="27" customFormat="1" ht="33" customHeight="1" x14ac:dyDescent="0.35">
      <c r="A19" s="696"/>
      <c r="B19" s="697" t="s">
        <v>36</v>
      </c>
      <c r="C19" s="681" t="s">
        <v>8</v>
      </c>
      <c r="D19" s="682" t="s">
        <v>9</v>
      </c>
      <c r="E19" s="495">
        <v>1122.8879999999999</v>
      </c>
      <c r="F19" s="495">
        <v>1215.4490000000001</v>
      </c>
      <c r="G19" s="495">
        <v>1364.653</v>
      </c>
      <c r="H19" s="540">
        <f>AVERAGE(E19:G19)</f>
        <v>1234.33</v>
      </c>
      <c r="I19" s="495">
        <v>1324.4380000000001</v>
      </c>
      <c r="J19" s="495">
        <v>1460.182</v>
      </c>
      <c r="K19" s="495">
        <v>1438.8869999999999</v>
      </c>
      <c r="L19" s="494">
        <f>AVERAGE(I19:K19)</f>
        <v>1407.8356666666666</v>
      </c>
      <c r="M19" s="600">
        <v>1313.394</v>
      </c>
      <c r="N19" s="516">
        <v>1436.829</v>
      </c>
      <c r="O19" s="516">
        <v>1382.404</v>
      </c>
      <c r="P19" s="540">
        <f>AVERAGE(M19:O19)</f>
        <v>1377.5423333333335</v>
      </c>
      <c r="Q19" s="495">
        <v>1375.6</v>
      </c>
      <c r="R19" s="495">
        <v>1532.3</v>
      </c>
      <c r="S19" s="495">
        <v>1383.6</v>
      </c>
      <c r="T19" s="540">
        <f>AVERAGE(Q19:S19)</f>
        <v>1430.5</v>
      </c>
      <c r="U19" s="562">
        <f>SUM(E19:G19,I19:K19,M19:O19,Q19:S19)</f>
        <v>16350.624</v>
      </c>
      <c r="V19" s="562">
        <f>AVERAGE(E19:G19,I19:K19,M19:O19,Q19:S19)</f>
        <v>1362.5519999999999</v>
      </c>
      <c r="W19" s="234"/>
      <c r="X19" s="234"/>
    </row>
    <row r="20" spans="1:24" s="25" customFormat="1" ht="30" customHeight="1" x14ac:dyDescent="0.25">
      <c r="A20" s="698"/>
      <c r="B20" s="699" t="s">
        <v>31</v>
      </c>
      <c r="C20" s="700" t="s">
        <v>10</v>
      </c>
      <c r="D20" s="684"/>
      <c r="E20" s="519">
        <f>E19/E15</f>
        <v>3.3334112097443401E-3</v>
      </c>
      <c r="F20" s="519">
        <f t="shared" ref="F20:G20" si="15">F19/F15</f>
        <v>3.5922591125096153E-3</v>
      </c>
      <c r="G20" s="519">
        <f t="shared" si="15"/>
        <v>3.7173147750481986E-3</v>
      </c>
      <c r="H20" s="541">
        <f>AVERAGE(E20:G20)</f>
        <v>3.5476616991007176E-3</v>
      </c>
      <c r="I20" s="519">
        <f>I19/I15</f>
        <v>3.5831098670300737E-3</v>
      </c>
      <c r="J20" s="519">
        <f>J19/J15</f>
        <v>4.0415630589342054E-3</v>
      </c>
      <c r="K20" s="519">
        <f>K19/K15</f>
        <v>3.8360889256689431E-3</v>
      </c>
      <c r="L20" s="491">
        <f>SUM(I19:K19)/SUM(I15:K15)</f>
        <v>3.818662854077557E-3</v>
      </c>
      <c r="M20" s="519">
        <f>M19/M15</f>
        <v>3.582437677771679E-3</v>
      </c>
      <c r="N20" s="519">
        <f t="shared" ref="N20:O20" si="16">N19/N15</f>
        <v>3.8907115023485072E-3</v>
      </c>
      <c r="O20" s="519">
        <f t="shared" si="16"/>
        <v>3.7583736705066881E-3</v>
      </c>
      <c r="P20" s="541">
        <f>SUM(M19:O19)/SUM(M15:O15)</f>
        <v>3.7442129689348883E-3</v>
      </c>
      <c r="Q20" s="519">
        <f>Q19/Q15</f>
        <v>3.6206054700415914E-3</v>
      </c>
      <c r="R20" s="519">
        <f>R19/R15</f>
        <v>4.0212489903313775E-3</v>
      </c>
      <c r="S20" s="519">
        <f>S19/S15</f>
        <v>3.37934982296149E-3</v>
      </c>
      <c r="T20" s="541">
        <f>SUM(Q19:S19)/SUM(Q15:S15)</f>
        <v>3.6666478821628522E-3</v>
      </c>
      <c r="U20" s="570" t="s">
        <v>11</v>
      </c>
      <c r="V20" s="564">
        <f>U19/U15</f>
        <v>3.697155511072536E-3</v>
      </c>
      <c r="W20" s="235"/>
      <c r="X20" s="235"/>
    </row>
    <row r="21" spans="1:24" ht="33" customHeight="1" x14ac:dyDescent="0.25">
      <c r="A21" s="671" t="s">
        <v>24</v>
      </c>
      <c r="B21" s="701" t="s">
        <v>37</v>
      </c>
      <c r="C21" s="701" t="s">
        <v>19</v>
      </c>
      <c r="D21" s="702" t="s">
        <v>16</v>
      </c>
      <c r="E21" s="218">
        <f>E23+E25</f>
        <v>131348.07800000001</v>
      </c>
      <c r="F21" s="218">
        <f t="shared" ref="F21:G21" si="17">F23+F25</f>
        <v>140020.72</v>
      </c>
      <c r="G21" s="218">
        <f t="shared" si="17"/>
        <v>147929.19</v>
      </c>
      <c r="H21" s="544">
        <f>AVERAGE(E21:G21)</f>
        <v>139765.99600000001</v>
      </c>
      <c r="I21" s="218">
        <f>I23+I25</f>
        <v>143843.008</v>
      </c>
      <c r="J21" s="218">
        <f>J23+J25</f>
        <v>142113.79999999999</v>
      </c>
      <c r="K21" s="218">
        <f>K23+K25</f>
        <v>145937.35799999998</v>
      </c>
      <c r="L21" s="499">
        <f>AVERAGE(I21:K21)</f>
        <v>143964.72199999998</v>
      </c>
      <c r="M21" s="218">
        <f>M23+M25</f>
        <v>138794.64000000001</v>
      </c>
      <c r="N21" s="218">
        <f t="shared" ref="N21:O21" si="18">N23+N25</f>
        <v>140187.739</v>
      </c>
      <c r="O21" s="218">
        <f t="shared" si="18"/>
        <v>141841.94</v>
      </c>
      <c r="P21" s="544">
        <f>AVERAGE(M21:O21)</f>
        <v>140274.77300000002</v>
      </c>
      <c r="Q21" s="531">
        <f>Q23+Q25</f>
        <v>146408.20000000001</v>
      </c>
      <c r="R21" s="531">
        <f>R23+R25</f>
        <v>144991.80000000002</v>
      </c>
      <c r="S21" s="531">
        <f>S23+S25</f>
        <v>152153.60000000001</v>
      </c>
      <c r="T21" s="544">
        <f>AVERAGE(Q21:S21)</f>
        <v>147851.19999999998</v>
      </c>
      <c r="U21" s="571">
        <f>SUM(E21:G21,I21:K21,M21:O21,Q21:S21)</f>
        <v>1715570.0730000001</v>
      </c>
      <c r="V21" s="572">
        <f>AVERAGE(E21:G21,I21:K21,M21:O21,Q21:S21)</f>
        <v>142964.17275</v>
      </c>
      <c r="W21" s="233"/>
      <c r="X21" s="233"/>
    </row>
    <row r="22" spans="1:24" ht="30" customHeight="1" x14ac:dyDescent="0.25">
      <c r="A22" s="671"/>
      <c r="B22" s="703" t="s">
        <v>14</v>
      </c>
      <c r="C22" s="703" t="s">
        <v>38</v>
      </c>
      <c r="D22" s="704" t="s">
        <v>16</v>
      </c>
      <c r="E22" s="221">
        <f>E21/E7</f>
        <v>6913.0567368421061</v>
      </c>
      <c r="F22" s="221">
        <f>F21/F7</f>
        <v>6667.6533333333336</v>
      </c>
      <c r="G22" s="221">
        <f>G21/G7</f>
        <v>6724.0540909090914</v>
      </c>
      <c r="H22" s="545">
        <f>SUM(E21:G21)/SUM(E7:G7)</f>
        <v>6762.8707741935486</v>
      </c>
      <c r="I22" s="221">
        <f>I21/I7</f>
        <v>6849.6670476190475</v>
      </c>
      <c r="J22" s="221">
        <f>J21/J7</f>
        <v>7105.69</v>
      </c>
      <c r="K22" s="221">
        <f>K21/K7</f>
        <v>6633.5162727272718</v>
      </c>
      <c r="L22" s="551">
        <f>SUM(I21:K21)/SUM(I7:K7)</f>
        <v>6855.4629523809517</v>
      </c>
      <c r="M22" s="221">
        <f>M21/M7</f>
        <v>6609.2685714285717</v>
      </c>
      <c r="N22" s="221">
        <f t="shared" ref="N22:O22" si="19">N21/N7</f>
        <v>6372.1699545454549</v>
      </c>
      <c r="O22" s="221">
        <f t="shared" si="19"/>
        <v>6447.3609090909094</v>
      </c>
      <c r="P22" s="545">
        <f>SUM(M21:O21)/SUM(M7:O7)</f>
        <v>6474.2202923076929</v>
      </c>
      <c r="Q22" s="532">
        <f>Q21/Q7</f>
        <v>6971.8190476190484</v>
      </c>
      <c r="R22" s="532">
        <f>R21/R7</f>
        <v>7249.5900000000011</v>
      </c>
      <c r="S22" s="532">
        <f>S21/S7</f>
        <v>7245.4095238095242</v>
      </c>
      <c r="T22" s="545">
        <f>SUM(Q21:S21)/SUM(Q7:S7)</f>
        <v>7154.0903225806451</v>
      </c>
      <c r="U22" s="573" t="s">
        <v>11</v>
      </c>
      <c r="V22" s="574">
        <f>U21/U7</f>
        <v>6807.8177500000002</v>
      </c>
      <c r="W22" s="233"/>
      <c r="X22" s="233"/>
    </row>
    <row r="23" spans="1:24" s="27" customFormat="1" ht="33" customHeight="1" x14ac:dyDescent="0.35">
      <c r="A23" s="696"/>
      <c r="B23" s="697" t="s">
        <v>36</v>
      </c>
      <c r="C23" s="681" t="s">
        <v>19</v>
      </c>
      <c r="D23" s="682" t="s">
        <v>16</v>
      </c>
      <c r="E23" s="495">
        <v>129690.412</v>
      </c>
      <c r="F23" s="495">
        <v>138250.54999999999</v>
      </c>
      <c r="G23" s="495">
        <v>146077.50200000001</v>
      </c>
      <c r="H23" s="540">
        <f>AVERAGE(E23:G23)</f>
        <v>138006.15466666667</v>
      </c>
      <c r="I23" s="495">
        <v>142145.47500000001</v>
      </c>
      <c r="J23" s="495">
        <v>140263.45499999999</v>
      </c>
      <c r="K23" s="495">
        <v>144178.50399999999</v>
      </c>
      <c r="L23" s="494">
        <f>AVERAGE(I23:K23)</f>
        <v>142195.81133333335</v>
      </c>
      <c r="M23" s="516">
        <v>137047.75200000001</v>
      </c>
      <c r="N23" s="516">
        <v>138319.95699999999</v>
      </c>
      <c r="O23" s="516">
        <v>140092.92499999999</v>
      </c>
      <c r="P23" s="540">
        <f>+AVERAGE(M23:O23)</f>
        <v>138486.878</v>
      </c>
      <c r="Q23" s="495">
        <v>144581.5</v>
      </c>
      <c r="R23" s="495">
        <v>143226.6</v>
      </c>
      <c r="S23" s="495">
        <v>150351.4</v>
      </c>
      <c r="T23" s="540">
        <f>+AVERAGE(Q23:S23)</f>
        <v>146053.16666666666</v>
      </c>
      <c r="U23" s="562">
        <f>SUM(E23:G23,I23:K23,M23:O23,Q23:S23)</f>
        <v>1694226.0319999999</v>
      </c>
      <c r="V23" s="562">
        <f>AVERAGE(E23:G23,I23:K23,L23:O24)</f>
        <v>99876.163771851498</v>
      </c>
      <c r="W23" s="234"/>
      <c r="X23" s="234"/>
    </row>
    <row r="24" spans="1:24" s="25" customFormat="1" ht="30" customHeight="1" x14ac:dyDescent="0.25">
      <c r="A24" s="698"/>
      <c r="B24" s="699" t="s">
        <v>32</v>
      </c>
      <c r="C24" s="700" t="s">
        <v>21</v>
      </c>
      <c r="D24" s="684"/>
      <c r="E24" s="519">
        <f>E23/E21</f>
        <v>0.98737959454572288</v>
      </c>
      <c r="F24" s="519">
        <f t="shared" ref="F24:G24" si="20">F23/F21</f>
        <v>0.98735779961708514</v>
      </c>
      <c r="G24" s="519">
        <f t="shared" si="20"/>
        <v>0.98748260569803703</v>
      </c>
      <c r="H24" s="541">
        <f>SUM(E23:G23)/SUM(E21:G21)</f>
        <v>0.98740865887484297</v>
      </c>
      <c r="I24" s="519">
        <f>I23/I21</f>
        <v>0.98819871036067319</v>
      </c>
      <c r="J24" s="519">
        <f>J23/J21</f>
        <v>0.98697983587800764</v>
      </c>
      <c r="K24" s="519">
        <f>K23/K21</f>
        <v>0.98794788377627074</v>
      </c>
      <c r="L24" s="491">
        <f>SUM(I23:K23)/SUM(I21:K21)</f>
        <v>0.98771288797635681</v>
      </c>
      <c r="M24" s="519">
        <f>M23/M21</f>
        <v>0.98741386554985111</v>
      </c>
      <c r="N24" s="519">
        <f t="shared" ref="N24:O24" si="21">N23/N21</f>
        <v>0.98667656662898306</v>
      </c>
      <c r="O24" s="519">
        <f t="shared" si="21"/>
        <v>0.98766926763692031</v>
      </c>
      <c r="P24" s="541">
        <f>SUM(M23:O23)/SUM(M21:O21)</f>
        <v>0.98725433688636233</v>
      </c>
      <c r="Q24" s="519">
        <f>Q23/Q21</f>
        <v>0.98752323981853463</v>
      </c>
      <c r="R24" s="519">
        <f>R23/R21</f>
        <v>0.9878255184086272</v>
      </c>
      <c r="S24" s="519">
        <f>S23/S21</f>
        <v>0.98815539034239075</v>
      </c>
      <c r="T24" s="541">
        <f>SUM(Q23:S23)/SUM(Q21:S21)</f>
        <v>0.98783889928973645</v>
      </c>
      <c r="U24" s="575" t="s">
        <v>11</v>
      </c>
      <c r="V24" s="564">
        <f>U23/U21</f>
        <v>0.98755863060569937</v>
      </c>
      <c r="W24" s="235"/>
      <c r="X24" s="236"/>
    </row>
    <row r="25" spans="1:24" s="27" customFormat="1" ht="33" customHeight="1" x14ac:dyDescent="0.35">
      <c r="A25" s="691"/>
      <c r="B25" s="692" t="s">
        <v>36</v>
      </c>
      <c r="C25" s="676" t="s">
        <v>19</v>
      </c>
      <c r="D25" s="677" t="s">
        <v>16</v>
      </c>
      <c r="E25" s="444">
        <v>1657.6659999999999</v>
      </c>
      <c r="F25" s="444">
        <v>1770.17</v>
      </c>
      <c r="G25" s="444">
        <v>1851.6880000000001</v>
      </c>
      <c r="H25" s="538">
        <f>AVERAGE(E25:G25)</f>
        <v>1759.8413333333335</v>
      </c>
      <c r="I25" s="444">
        <v>1697.5329999999999</v>
      </c>
      <c r="J25" s="444">
        <v>1850.345</v>
      </c>
      <c r="K25" s="444">
        <v>1758.854</v>
      </c>
      <c r="L25" s="493">
        <f>AVERAGE(I25:K25)</f>
        <v>1768.9106666666667</v>
      </c>
      <c r="M25" s="444">
        <v>1746.8879999999999</v>
      </c>
      <c r="N25" s="200">
        <v>1867.7819999999999</v>
      </c>
      <c r="O25" s="200">
        <v>1749.0150000000001</v>
      </c>
      <c r="P25" s="538">
        <f>AVERAGE(M25:O25)</f>
        <v>1787.8950000000002</v>
      </c>
      <c r="Q25" s="508">
        <v>1826.7</v>
      </c>
      <c r="R25" s="508">
        <v>1765.2</v>
      </c>
      <c r="S25" s="508">
        <v>1802.2</v>
      </c>
      <c r="T25" s="538">
        <f>AVERAGE(Q25:S25)</f>
        <v>1798.0333333333335</v>
      </c>
      <c r="U25" s="558">
        <f>SUM(E25:G25,I25:K25,M25:O25,Q25:S25)</f>
        <v>21344.041000000001</v>
      </c>
      <c r="V25" s="576">
        <f>AVERAGE(E25:G25,I25:K25,M25:O25,Q25:S25)</f>
        <v>1778.6700833333334</v>
      </c>
      <c r="W25" s="234"/>
      <c r="X25" s="234"/>
    </row>
    <row r="26" spans="1:24" s="25" customFormat="1" ht="30" customHeight="1" x14ac:dyDescent="0.25">
      <c r="A26" s="693"/>
      <c r="B26" s="694" t="s">
        <v>31</v>
      </c>
      <c r="C26" s="695" t="s">
        <v>21</v>
      </c>
      <c r="D26" s="686"/>
      <c r="E26" s="521">
        <f>E25/E21</f>
        <v>1.2620405454276992E-2</v>
      </c>
      <c r="F26" s="521">
        <f t="shared" ref="F26:G26" si="22">F25/F21</f>
        <v>1.2642200382914758E-2</v>
      </c>
      <c r="G26" s="521">
        <f t="shared" si="22"/>
        <v>1.2517394301962987E-2</v>
      </c>
      <c r="H26" s="539">
        <f>SUM(E25:G25)/SUM(E21:G21)</f>
        <v>1.2591341125157033E-2</v>
      </c>
      <c r="I26" s="521">
        <f>I25/I21</f>
        <v>1.1801289639326785E-2</v>
      </c>
      <c r="J26" s="521">
        <f>J25/J21</f>
        <v>1.3020164121992377E-2</v>
      </c>
      <c r="K26" s="521">
        <f>K25/K21</f>
        <v>1.2052116223729365E-2</v>
      </c>
      <c r="L26" s="492">
        <f>SUM(I25:K25)/SUM(I21:K21)</f>
        <v>1.2287112023643312E-2</v>
      </c>
      <c r="M26" s="521">
        <f>M25/M21</f>
        <v>1.2586134450148794E-2</v>
      </c>
      <c r="N26" s="521">
        <f t="shared" ref="N26:O26" si="23">N25/N21</f>
        <v>1.3323433371016847E-2</v>
      </c>
      <c r="O26" s="521">
        <f t="shared" si="23"/>
        <v>1.2330732363079636E-2</v>
      </c>
      <c r="P26" s="539">
        <f>SUM(M25:O25)/SUM(M21:O21)</f>
        <v>1.2745663113637689E-2</v>
      </c>
      <c r="Q26" s="513">
        <f>Q25/Q21</f>
        <v>1.2476760181465246E-2</v>
      </c>
      <c r="R26" s="513">
        <f>R25/R21</f>
        <v>1.2174481591372752E-2</v>
      </c>
      <c r="S26" s="513">
        <f>S25/S21</f>
        <v>1.1844609657609152E-2</v>
      </c>
      <c r="T26" s="539">
        <f>SUM(Q25:S25)/SUM(Q21:S21)</f>
        <v>1.2161100710263655E-2</v>
      </c>
      <c r="U26" s="577" t="s">
        <v>11</v>
      </c>
      <c r="V26" s="565">
        <f>U25/U21</f>
        <v>1.2441369394300456E-2</v>
      </c>
      <c r="W26" s="235"/>
      <c r="X26" s="235"/>
    </row>
    <row r="27" spans="1:24" ht="33" customHeight="1" x14ac:dyDescent="0.25">
      <c r="A27" s="673" t="s">
        <v>33</v>
      </c>
      <c r="B27" s="687" t="s">
        <v>34</v>
      </c>
      <c r="C27" s="689" t="s">
        <v>18</v>
      </c>
      <c r="D27" s="690"/>
      <c r="E27" s="533">
        <v>1603</v>
      </c>
      <c r="F27" s="533">
        <v>1603</v>
      </c>
      <c r="G27" s="533">
        <v>1602</v>
      </c>
      <c r="H27" s="546">
        <f>AVERAGE(E27:G27)</f>
        <v>1602.6666666666667</v>
      </c>
      <c r="I27" s="533">
        <v>1602</v>
      </c>
      <c r="J27" s="533">
        <v>1602</v>
      </c>
      <c r="K27" s="533">
        <v>1602</v>
      </c>
      <c r="L27" s="552">
        <f>AVERAGE(I27:K27)</f>
        <v>1602</v>
      </c>
      <c r="M27" s="533">
        <v>1599</v>
      </c>
      <c r="N27" s="533">
        <v>1598</v>
      </c>
      <c r="O27" s="533">
        <v>1598</v>
      </c>
      <c r="P27" s="546">
        <f>AVERAGE(M27:O27)</f>
        <v>1598.3333333333333</v>
      </c>
      <c r="Q27" s="534">
        <v>1597</v>
      </c>
      <c r="R27" s="534">
        <v>1584</v>
      </c>
      <c r="S27" s="534">
        <v>1585</v>
      </c>
      <c r="T27" s="546">
        <f>AVERAGE(Q27:S27)</f>
        <v>1588.6666666666667</v>
      </c>
      <c r="U27" s="578" t="s">
        <v>11</v>
      </c>
      <c r="V27" s="579">
        <f>AVERAGE(E27:G27,I27:K27,M27:O27,Q27:S27)</f>
        <v>1597.9166666666667</v>
      </c>
      <c r="W27" s="233"/>
      <c r="X27" s="233"/>
    </row>
    <row r="28" spans="1:24" ht="30" customHeight="1" x14ac:dyDescent="0.25">
      <c r="A28" s="705"/>
      <c r="B28" s="705"/>
      <c r="C28" s="701" t="s">
        <v>19</v>
      </c>
      <c r="D28" s="702" t="s">
        <v>16</v>
      </c>
      <c r="E28" s="218">
        <f>E21</f>
        <v>131348.07800000001</v>
      </c>
      <c r="F28" s="218">
        <f t="shared" ref="F28:G28" si="24">F21</f>
        <v>140020.72</v>
      </c>
      <c r="G28" s="218">
        <f t="shared" si="24"/>
        <v>147929.19</v>
      </c>
      <c r="H28" s="544">
        <f>AVERAGE(E28:G28)</f>
        <v>139765.99600000001</v>
      </c>
      <c r="I28" s="218">
        <f>I21</f>
        <v>143843.008</v>
      </c>
      <c r="J28" s="218">
        <f>J21</f>
        <v>142113.79999999999</v>
      </c>
      <c r="K28" s="218">
        <f>K21</f>
        <v>145937.35799999998</v>
      </c>
      <c r="L28" s="499">
        <f>AVERAGE(I28:J28)</f>
        <v>142978.40399999998</v>
      </c>
      <c r="M28" s="218">
        <f>M21</f>
        <v>138794.64000000001</v>
      </c>
      <c r="N28" s="218">
        <f t="shared" ref="N28:O28" si="25">N21</f>
        <v>140187.739</v>
      </c>
      <c r="O28" s="218">
        <f t="shared" si="25"/>
        <v>141841.94</v>
      </c>
      <c r="P28" s="544">
        <f>AVERAGE(M28:O28)</f>
        <v>140274.77300000002</v>
      </c>
      <c r="Q28" s="531">
        <f>Q21</f>
        <v>146408.20000000001</v>
      </c>
      <c r="R28" s="531">
        <f>R21</f>
        <v>144991.80000000002</v>
      </c>
      <c r="S28" s="531">
        <f>S21</f>
        <v>152153.60000000001</v>
      </c>
      <c r="T28" s="544">
        <f>AVERAGE(Q28:S28)</f>
        <v>147851.19999999998</v>
      </c>
      <c r="U28" s="571">
        <f>SUM(E28:G28,I28:K28,M28:O28,Q28:S28)</f>
        <v>1715570.0730000001</v>
      </c>
      <c r="V28" s="571">
        <f>AVERAGE(E28:G28,I28:K28,M28:O28,Q28:S28)</f>
        <v>142964.17275</v>
      </c>
      <c r="W28" s="233"/>
      <c r="X28" s="233"/>
    </row>
    <row r="29" spans="1:24" ht="30" customHeight="1" x14ac:dyDescent="0.25">
      <c r="A29" s="706"/>
      <c r="B29" s="707"/>
      <c r="C29" s="689" t="s">
        <v>20</v>
      </c>
      <c r="D29" s="690" t="s">
        <v>16</v>
      </c>
      <c r="E29" s="496">
        <f>E28/E7</f>
        <v>6913.0567368421061</v>
      </c>
      <c r="F29" s="496">
        <f t="shared" ref="F29:G29" si="26">F28/F7</f>
        <v>6667.6533333333336</v>
      </c>
      <c r="G29" s="496">
        <f t="shared" si="26"/>
        <v>6724.0540909090914</v>
      </c>
      <c r="H29" s="543">
        <f>SUM(E28:G28)/SUM(E7:G7)</f>
        <v>6762.8707741935486</v>
      </c>
      <c r="I29" s="496">
        <f>I28/I7</f>
        <v>6849.6670476190475</v>
      </c>
      <c r="J29" s="496">
        <f>J28/J7</f>
        <v>7105.69</v>
      </c>
      <c r="K29" s="496">
        <f>K28/K7</f>
        <v>6633.5162727272718</v>
      </c>
      <c r="L29" s="497">
        <f>SUM(I28:K28)/SUM(I7:K7)</f>
        <v>6855.4629523809517</v>
      </c>
      <c r="M29" s="496">
        <f>M28/M7</f>
        <v>6609.2685714285717</v>
      </c>
      <c r="N29" s="496">
        <f t="shared" ref="N29:O29" si="27">N28/N7</f>
        <v>6372.1699545454549</v>
      </c>
      <c r="O29" s="496">
        <f t="shared" si="27"/>
        <v>6447.3609090909094</v>
      </c>
      <c r="P29" s="543">
        <f>SUM(M28:O28)/SUM(M7:O7)</f>
        <v>6474.2202923076929</v>
      </c>
      <c r="Q29" s="496">
        <f>Q28/Q7</f>
        <v>6971.8190476190484</v>
      </c>
      <c r="R29" s="496">
        <f>R28/R7</f>
        <v>7249.5900000000011</v>
      </c>
      <c r="S29" s="496">
        <f>S28/S7</f>
        <v>7245.4095238095242</v>
      </c>
      <c r="T29" s="543">
        <f>SUM(Q28:S28)/SUM(Q7:S7)</f>
        <v>7154.0903225806451</v>
      </c>
      <c r="U29" s="568" t="s">
        <v>11</v>
      </c>
      <c r="V29" s="569">
        <f>U28/U7</f>
        <v>6807.8177500000002</v>
      </c>
      <c r="W29" s="233"/>
      <c r="X29" s="233"/>
    </row>
    <row r="30" spans="1:24" ht="30" customHeight="1" x14ac:dyDescent="0.25">
      <c r="A30" s="705"/>
      <c r="B30" s="705"/>
      <c r="C30" s="703" t="s">
        <v>22</v>
      </c>
      <c r="D30" s="704" t="s">
        <v>219</v>
      </c>
      <c r="E30" s="221">
        <f>E31/E28*1000</f>
        <v>2564.6247370288884</v>
      </c>
      <c r="F30" s="221">
        <f t="shared" ref="F30:G30" si="28">F31/F28*1000</f>
        <v>2416.4442448231948</v>
      </c>
      <c r="G30" s="221">
        <f t="shared" si="28"/>
        <v>2481.6413515141935</v>
      </c>
      <c r="H30" s="545">
        <f>SUM(E31:G31)/SUM(E28:G28)*1000</f>
        <v>2485.8645112315685</v>
      </c>
      <c r="I30" s="221">
        <f>I31/I28*1000</f>
        <v>2569.70193504296</v>
      </c>
      <c r="J30" s="221">
        <f>J31/J28*1000</f>
        <v>2542.2682807721703</v>
      </c>
      <c r="K30" s="221">
        <f>K31/K28*1000</f>
        <v>2570.2273642640566</v>
      </c>
      <c r="L30" s="551">
        <f>SUM(I31:K31)/SUM(I28:K28)*1000</f>
        <v>2560.8524959793044</v>
      </c>
      <c r="M30" s="221">
        <f>M31/M28*1000</f>
        <v>2641.457876183114</v>
      </c>
      <c r="N30" s="221">
        <f>N31/N28*1000</f>
        <v>2634.3048089248382</v>
      </c>
      <c r="O30" s="221">
        <f>O31/O28*1000</f>
        <v>2593.166259570336</v>
      </c>
      <c r="P30" s="545">
        <f>SUM(M31:O31)/SUM(M28:O28)*1000</f>
        <v>2622.797954316894</v>
      </c>
      <c r="Q30" s="532">
        <f>Q31/Q28*1000</f>
        <v>2595.0489999877054</v>
      </c>
      <c r="R30" s="532">
        <f>R31/R28*1000</f>
        <v>2628.0849261820322</v>
      </c>
      <c r="S30" s="532">
        <f>S31/S28*1000</f>
        <v>2690.8851975898037</v>
      </c>
      <c r="T30" s="545">
        <f>SUM(Q31:S31)/SUM(Q28:S28)*1000</f>
        <v>2638.7230021354799</v>
      </c>
      <c r="U30" s="664" t="s">
        <v>11</v>
      </c>
      <c r="V30" s="603">
        <f>U31/U28*1000</f>
        <v>2577.8530184234564</v>
      </c>
      <c r="W30" s="233"/>
      <c r="X30" s="233"/>
    </row>
    <row r="31" spans="1:24" ht="30" customHeight="1" x14ac:dyDescent="0.25">
      <c r="A31" s="706"/>
      <c r="B31" s="707"/>
      <c r="C31" s="687" t="s">
        <v>26</v>
      </c>
      <c r="D31" s="688" t="s">
        <v>9</v>
      </c>
      <c r="E31" s="524">
        <f>E15</f>
        <v>336858.52999999997</v>
      </c>
      <c r="F31" s="524">
        <f t="shared" ref="F31:G31" si="29">F15</f>
        <v>338352.26300000004</v>
      </c>
      <c r="G31" s="524">
        <f t="shared" si="29"/>
        <v>367107.19499999995</v>
      </c>
      <c r="H31" s="542">
        <f>AVERAGE(E31:G31)</f>
        <v>347439.32933333336</v>
      </c>
      <c r="I31" s="524">
        <f>I15</f>
        <v>369633.65600000002</v>
      </c>
      <c r="J31" s="524">
        <f>J15</f>
        <v>361291.40600000002</v>
      </c>
      <c r="K31" s="524">
        <f>K15</f>
        <v>375092.19099999999</v>
      </c>
      <c r="L31" s="550">
        <f>AVERAGE(I31:K31)</f>
        <v>368672.41766666668</v>
      </c>
      <c r="M31" s="524">
        <f>M15</f>
        <v>366620.19499999995</v>
      </c>
      <c r="N31" s="524">
        <f t="shared" ref="N31:O31" si="30">N15</f>
        <v>369297.23500000004</v>
      </c>
      <c r="O31" s="524">
        <f t="shared" si="30"/>
        <v>367819.73300000001</v>
      </c>
      <c r="P31" s="542">
        <f>AVERAGE(M31:O31)</f>
        <v>367912.38766666665</v>
      </c>
      <c r="Q31" s="524">
        <f>Q15</f>
        <v>379936.45299999998</v>
      </c>
      <c r="R31" s="524">
        <f>R15</f>
        <v>381050.76400000002</v>
      </c>
      <c r="S31" s="524">
        <f>S15</f>
        <v>409427.87</v>
      </c>
      <c r="T31" s="542">
        <f>AVERAGE(Q31:S31)</f>
        <v>390138.36233333329</v>
      </c>
      <c r="U31" s="567">
        <f>SUM(E31:G31,I31:K31,M31:O31,Q31:S31)</f>
        <v>4422487.4909999995</v>
      </c>
      <c r="V31" s="567">
        <f>AVERAGE(E31:G31,I31:K31,M31:O31,Q31:S31)</f>
        <v>368540.62424999994</v>
      </c>
      <c r="W31" s="233"/>
      <c r="X31" s="233"/>
    </row>
    <row r="32" spans="1:24" ht="33" customHeight="1" x14ac:dyDescent="0.25">
      <c r="A32" s="708"/>
      <c r="B32" s="708"/>
      <c r="C32" s="709" t="s">
        <v>20</v>
      </c>
      <c r="D32" s="710" t="s">
        <v>9</v>
      </c>
      <c r="E32" s="770">
        <f>E31/E7</f>
        <v>17729.396315789472</v>
      </c>
      <c r="F32" s="771">
        <f t="shared" ref="F32:G32" si="31">F31/F7</f>
        <v>16112.012523809526</v>
      </c>
      <c r="G32" s="771">
        <f t="shared" si="31"/>
        <v>16686.690681818178</v>
      </c>
      <c r="H32" s="772">
        <f>SUM(E31:G31)/SUM(E7:G7)</f>
        <v>16811.580451612903</v>
      </c>
      <c r="I32" s="771">
        <f>I31/I7</f>
        <v>17601.602666666666</v>
      </c>
      <c r="J32" s="771">
        <f>J31/J7</f>
        <v>18064.570299999999</v>
      </c>
      <c r="K32" s="771">
        <f>K31/K7</f>
        <v>17049.645045454545</v>
      </c>
      <c r="L32" s="773">
        <f>SUM(I31:K31)/SUM(I7:K7)</f>
        <v>17555.829412698415</v>
      </c>
      <c r="M32" s="771">
        <f>M31/M7</f>
        <v>17458.104523809521</v>
      </c>
      <c r="N32" s="771">
        <f>N31/N7</f>
        <v>16786.237954545457</v>
      </c>
      <c r="O32" s="771">
        <f>O31/O7</f>
        <v>16719.078772727273</v>
      </c>
      <c r="P32" s="772">
        <f>SUM(M31:O31)/SUM(M7:O7)</f>
        <v>16980.571738461538</v>
      </c>
      <c r="Q32" s="774">
        <f>Q31/Q7</f>
        <v>18092.212047619047</v>
      </c>
      <c r="R32" s="774">
        <f>R31/R7</f>
        <v>19052.538200000003</v>
      </c>
      <c r="S32" s="774">
        <f>S31/S7</f>
        <v>19496.565238095238</v>
      </c>
      <c r="T32" s="772">
        <f>SUM(Q31:S31)/SUM(Q7:S7)</f>
        <v>18877.662693548384</v>
      </c>
      <c r="U32" s="775" t="s">
        <v>11</v>
      </c>
      <c r="V32" s="776">
        <f>U31/U7</f>
        <v>17549.553535714283</v>
      </c>
      <c r="W32" s="233"/>
      <c r="X32" s="233"/>
    </row>
    <row r="33" spans="1:24" s="135" customFormat="1" ht="30" customHeight="1" x14ac:dyDescent="0.25">
      <c r="A33" s="325"/>
      <c r="B33" s="119"/>
      <c r="C33" s="2"/>
      <c r="D33" s="326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50"/>
      <c r="R33" s="350"/>
      <c r="S33" s="350"/>
      <c r="T33" s="350"/>
      <c r="U33" s="328"/>
      <c r="V33" s="329"/>
      <c r="W33" s="330"/>
      <c r="X33" s="330"/>
    </row>
    <row r="34" spans="1:24" s="135" customFormat="1" ht="30" customHeight="1" x14ac:dyDescent="0.25">
      <c r="A34" s="325"/>
      <c r="B34" s="331"/>
      <c r="C34" s="119"/>
      <c r="D34" s="332"/>
      <c r="E34" s="333"/>
      <c r="F34" s="333"/>
      <c r="G34" s="333"/>
      <c r="H34" s="490"/>
      <c r="I34" s="333"/>
      <c r="J34" s="333"/>
      <c r="K34" s="333"/>
      <c r="L34" s="333"/>
      <c r="M34" s="333"/>
      <c r="N34" s="333"/>
      <c r="O34" s="333"/>
      <c r="P34" s="333"/>
      <c r="Q34" s="351"/>
      <c r="R34" s="351"/>
      <c r="S34" s="351"/>
      <c r="T34" s="351"/>
      <c r="U34" s="334"/>
      <c r="V34" s="334"/>
      <c r="W34" s="330"/>
      <c r="X34" s="330"/>
    </row>
    <row r="35" spans="1:24" s="135" customFormat="1" ht="30" customHeight="1" x14ac:dyDescent="0.25">
      <c r="A35" s="325"/>
      <c r="B35" s="331"/>
      <c r="C35" s="2"/>
      <c r="D35" s="326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52"/>
      <c r="R35" s="352"/>
      <c r="S35" s="352"/>
      <c r="T35" s="352"/>
      <c r="U35" s="335"/>
      <c r="V35" s="336"/>
      <c r="W35" s="330"/>
      <c r="X35" s="330"/>
    </row>
    <row r="36" spans="1:24" s="135" customFormat="1" ht="30" customHeight="1" x14ac:dyDescent="0.25">
      <c r="A36" s="325"/>
      <c r="B36" s="331"/>
      <c r="C36" s="2"/>
      <c r="D36" s="326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53"/>
      <c r="R36" s="354"/>
      <c r="S36" s="354"/>
      <c r="T36" s="353"/>
      <c r="U36" s="335"/>
      <c r="V36" s="337"/>
      <c r="W36" s="330"/>
      <c r="X36" s="330"/>
    </row>
    <row r="37" spans="1:24" s="135" customFormat="1" ht="30" customHeight="1" x14ac:dyDescent="0.25">
      <c r="A37" s="325"/>
      <c r="B37" s="331"/>
      <c r="C37" s="2"/>
      <c r="D37" s="326"/>
      <c r="E37" s="333"/>
      <c r="F37" s="333"/>
      <c r="G37" s="500"/>
      <c r="H37" s="333"/>
      <c r="I37" s="333"/>
      <c r="J37" s="333"/>
      <c r="K37" s="333"/>
      <c r="L37" s="333"/>
      <c r="M37" s="333"/>
      <c r="N37" s="333"/>
      <c r="O37" s="333"/>
      <c r="P37" s="333"/>
      <c r="Q37" s="355"/>
      <c r="R37" s="352"/>
      <c r="S37" s="352"/>
      <c r="T37" s="355"/>
      <c r="U37" s="335"/>
      <c r="V37" s="336"/>
      <c r="W37" s="330"/>
      <c r="X37" s="330"/>
    </row>
    <row r="38" spans="1:24" s="135" customFormat="1" ht="30" customHeight="1" x14ac:dyDescent="0.25">
      <c r="A38" s="325"/>
      <c r="B38" s="331"/>
      <c r="C38" s="119"/>
      <c r="D38" s="332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51"/>
      <c r="R38" s="351"/>
      <c r="S38" s="351"/>
      <c r="T38" s="351"/>
      <c r="U38" s="334"/>
      <c r="V38" s="334"/>
      <c r="W38" s="330"/>
      <c r="X38" s="330"/>
    </row>
    <row r="39" spans="1:24" s="135" customFormat="1" ht="30" customHeight="1" x14ac:dyDescent="0.25">
      <c r="A39" s="325"/>
      <c r="B39" s="331"/>
      <c r="C39" s="2"/>
      <c r="D39" s="326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52"/>
      <c r="R39" s="352"/>
      <c r="S39" s="352"/>
      <c r="T39" s="352"/>
      <c r="U39" s="335"/>
      <c r="V39" s="336"/>
      <c r="W39" s="330"/>
      <c r="X39" s="330"/>
    </row>
    <row r="40" spans="1:24" s="135" customFormat="1" ht="30" customHeight="1" x14ac:dyDescent="0.25">
      <c r="A40" s="325"/>
      <c r="B40" s="331"/>
      <c r="C40" s="338"/>
      <c r="D40" s="326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53"/>
      <c r="R40" s="354"/>
      <c r="S40" s="354"/>
      <c r="T40" s="353"/>
      <c r="U40" s="335"/>
      <c r="V40" s="337"/>
      <c r="W40" s="330"/>
      <c r="X40" s="330"/>
    </row>
    <row r="41" spans="1:24" s="135" customFormat="1" x14ac:dyDescent="0.25">
      <c r="E41" s="339"/>
      <c r="F41" s="339"/>
      <c r="G41" s="339"/>
      <c r="H41" s="339"/>
      <c r="I41" s="340"/>
      <c r="J41" s="340"/>
      <c r="K41" s="340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spans="1:24" s="135" customFormat="1" x14ac:dyDescent="0.25">
      <c r="E42" s="339"/>
      <c r="F42" s="339"/>
      <c r="G42" s="339"/>
      <c r="H42" s="339"/>
      <c r="I42" s="340"/>
      <c r="J42" s="340"/>
      <c r="K42" s="340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spans="1:24" x14ac:dyDescent="0.25">
      <c r="E43" s="183"/>
      <c r="F43" s="183"/>
      <c r="G43" s="183"/>
      <c r="H43" s="183"/>
      <c r="I43" s="239"/>
      <c r="J43" s="239"/>
      <c r="K43" s="239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</row>
    <row r="44" spans="1:24" x14ac:dyDescent="0.25">
      <c r="E44" s="183"/>
      <c r="F44" s="183"/>
      <c r="G44" s="183"/>
      <c r="H44" s="183"/>
      <c r="I44" s="239"/>
      <c r="J44" s="239"/>
      <c r="K44" s="239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</row>
    <row r="45" spans="1:24" x14ac:dyDescent="0.25">
      <c r="E45" s="183"/>
      <c r="F45" s="183"/>
      <c r="G45" s="183"/>
      <c r="H45" s="183"/>
      <c r="I45" s="239"/>
      <c r="J45" s="239"/>
      <c r="K45" s="239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</row>
    <row r="46" spans="1:24" x14ac:dyDescent="0.25">
      <c r="E46" s="183"/>
      <c r="F46" s="183"/>
      <c r="G46" s="183"/>
      <c r="H46" s="183"/>
      <c r="I46" s="239"/>
      <c r="J46" s="239"/>
      <c r="K46" s="239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</row>
    <row r="47" spans="1:24" x14ac:dyDescent="0.25">
      <c r="E47" s="183"/>
      <c r="F47" s="183"/>
      <c r="G47" s="183"/>
      <c r="H47" s="183"/>
      <c r="I47" s="239"/>
      <c r="J47" s="239"/>
      <c r="K47" s="239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</row>
    <row r="48" spans="1:24" x14ac:dyDescent="0.25">
      <c r="E48" s="183"/>
      <c r="F48" s="183"/>
      <c r="G48" s="183"/>
      <c r="H48" s="183"/>
      <c r="I48" s="239"/>
      <c r="J48" s="239"/>
      <c r="K48" s="239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</row>
    <row r="49" spans="5:22" x14ac:dyDescent="0.25">
      <c r="E49" s="183"/>
      <c r="F49" s="183"/>
      <c r="G49" s="183"/>
      <c r="H49" s="183"/>
      <c r="I49" s="239"/>
      <c r="J49" s="239"/>
      <c r="K49" s="239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</row>
    <row r="50" spans="5:22" x14ac:dyDescent="0.25">
      <c r="E50" s="183"/>
      <c r="F50" s="183"/>
      <c r="G50" s="183"/>
      <c r="H50" s="183"/>
      <c r="I50" s="239"/>
      <c r="J50" s="239"/>
      <c r="K50" s="239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</row>
    <row r="51" spans="5:22" x14ac:dyDescent="0.25">
      <c r="E51" s="183"/>
      <c r="F51" s="183"/>
      <c r="G51" s="183"/>
      <c r="H51" s="183"/>
      <c r="I51" s="239"/>
      <c r="J51" s="239"/>
      <c r="K51" s="239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</row>
    <row r="52" spans="5:22" x14ac:dyDescent="0.25">
      <c r="E52" s="183"/>
      <c r="F52" s="183"/>
      <c r="G52" s="183"/>
      <c r="H52" s="183"/>
      <c r="I52" s="239"/>
      <c r="J52" s="239"/>
      <c r="K52" s="239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</row>
    <row r="53" spans="5:22" x14ac:dyDescent="0.25">
      <c r="E53" s="183"/>
      <c r="F53" s="183"/>
      <c r="G53" s="183"/>
      <c r="H53" s="183"/>
      <c r="I53" s="239"/>
      <c r="J53" s="239"/>
      <c r="K53" s="239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</row>
    <row r="54" spans="5:22" x14ac:dyDescent="0.25">
      <c r="E54" s="183"/>
      <c r="F54" s="183"/>
      <c r="G54" s="183"/>
      <c r="H54" s="183"/>
      <c r="I54" s="239"/>
      <c r="J54" s="239"/>
      <c r="K54" s="239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</row>
    <row r="55" spans="5:22" x14ac:dyDescent="0.25">
      <c r="E55" s="183"/>
      <c r="F55" s="183"/>
      <c r="G55" s="183"/>
      <c r="H55" s="183"/>
      <c r="I55" s="239"/>
      <c r="J55" s="239"/>
      <c r="K55" s="239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</row>
    <row r="56" spans="5:22" x14ac:dyDescent="0.25">
      <c r="E56" s="183"/>
      <c r="F56" s="183"/>
      <c r="G56" s="183"/>
      <c r="H56" s="183"/>
      <c r="I56" s="239"/>
      <c r="J56" s="239"/>
      <c r="K56" s="239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</row>
    <row r="57" spans="5:22" x14ac:dyDescent="0.25">
      <c r="E57" s="183"/>
      <c r="F57" s="183"/>
      <c r="G57" s="183"/>
      <c r="H57" s="183"/>
      <c r="I57" s="239"/>
      <c r="J57" s="239"/>
      <c r="K57" s="239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</row>
    <row r="58" spans="5:22" x14ac:dyDescent="0.25">
      <c r="E58" s="183"/>
      <c r="F58" s="183"/>
      <c r="G58" s="183"/>
      <c r="H58" s="183"/>
      <c r="I58" s="239"/>
      <c r="J58" s="239"/>
      <c r="K58" s="239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</row>
    <row r="59" spans="5:22" x14ac:dyDescent="0.25">
      <c r="E59" s="183"/>
      <c r="F59" s="183"/>
      <c r="G59" s="183"/>
      <c r="H59" s="183"/>
      <c r="I59" s="239"/>
      <c r="J59" s="239"/>
      <c r="K59" s="239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</row>
    <row r="60" spans="5:22" x14ac:dyDescent="0.25">
      <c r="E60" s="183"/>
      <c r="F60" s="183"/>
      <c r="G60" s="183"/>
      <c r="H60" s="183"/>
      <c r="I60" s="239"/>
      <c r="J60" s="239"/>
      <c r="K60" s="239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</row>
    <row r="61" spans="5:22" x14ac:dyDescent="0.25">
      <c r="E61" s="183"/>
      <c r="F61" s="183"/>
      <c r="G61" s="183"/>
      <c r="H61" s="183"/>
      <c r="I61" s="239"/>
      <c r="J61" s="239"/>
      <c r="K61" s="239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</row>
    <row r="62" spans="5:22" x14ac:dyDescent="0.25">
      <c r="E62" s="183"/>
      <c r="F62" s="183"/>
      <c r="G62" s="183"/>
      <c r="H62" s="183"/>
      <c r="I62" s="239"/>
      <c r="J62" s="239"/>
      <c r="K62" s="239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</row>
    <row r="63" spans="5:22" x14ac:dyDescent="0.25">
      <c r="E63" s="183"/>
      <c r="F63" s="183"/>
      <c r="G63" s="183"/>
      <c r="H63" s="183"/>
      <c r="I63" s="239"/>
      <c r="J63" s="239"/>
      <c r="K63" s="239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</row>
    <row r="64" spans="5:22" x14ac:dyDescent="0.25">
      <c r="E64" s="183"/>
      <c r="F64" s="183"/>
      <c r="G64" s="183"/>
      <c r="H64" s="183"/>
      <c r="I64" s="239"/>
      <c r="J64" s="239"/>
      <c r="K64" s="239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</row>
    <row r="65" spans="5:22" x14ac:dyDescent="0.25">
      <c r="E65" s="183"/>
      <c r="F65" s="183"/>
      <c r="G65" s="183"/>
      <c r="H65" s="183"/>
      <c r="I65" s="239"/>
      <c r="J65" s="239"/>
      <c r="K65" s="239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</row>
    <row r="66" spans="5:22" x14ac:dyDescent="0.25">
      <c r="E66" s="183"/>
      <c r="F66" s="183"/>
      <c r="G66" s="183"/>
      <c r="H66" s="183"/>
      <c r="I66" s="239"/>
      <c r="J66" s="239"/>
      <c r="K66" s="239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</row>
    <row r="67" spans="5:22" x14ac:dyDescent="0.25">
      <c r="E67" s="183"/>
      <c r="F67" s="183"/>
      <c r="G67" s="183"/>
      <c r="H67" s="183"/>
      <c r="I67" s="239"/>
      <c r="J67" s="239"/>
      <c r="K67" s="239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</row>
    <row r="68" spans="5:22" x14ac:dyDescent="0.25">
      <c r="E68" s="183"/>
      <c r="F68" s="183"/>
      <c r="G68" s="183"/>
      <c r="H68" s="183"/>
      <c r="I68" s="239"/>
      <c r="J68" s="239"/>
      <c r="K68" s="239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</row>
    <row r="69" spans="5:22" x14ac:dyDescent="0.25">
      <c r="E69" s="183"/>
      <c r="F69" s="183"/>
      <c r="G69" s="183"/>
      <c r="H69" s="183"/>
      <c r="I69" s="239"/>
      <c r="J69" s="239"/>
      <c r="K69" s="239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</row>
    <row r="70" spans="5:22" x14ac:dyDescent="0.25">
      <c r="E70" s="183"/>
      <c r="F70" s="183"/>
      <c r="G70" s="183"/>
      <c r="H70" s="183"/>
      <c r="I70" s="239"/>
      <c r="J70" s="239"/>
      <c r="K70" s="239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</row>
    <row r="71" spans="5:22" x14ac:dyDescent="0.25">
      <c r="E71" s="183"/>
      <c r="F71" s="183"/>
      <c r="G71" s="183"/>
      <c r="H71" s="183"/>
      <c r="I71" s="239"/>
      <c r="J71" s="239"/>
      <c r="K71" s="239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</row>
    <row r="72" spans="5:22" x14ac:dyDescent="0.25">
      <c r="E72" s="183"/>
      <c r="F72" s="183"/>
      <c r="G72" s="183"/>
      <c r="H72" s="183"/>
      <c r="I72" s="239"/>
      <c r="J72" s="239"/>
      <c r="K72" s="239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</row>
    <row r="73" spans="5:22" x14ac:dyDescent="0.25">
      <c r="E73" s="183"/>
      <c r="F73" s="183"/>
      <c r="G73" s="183"/>
      <c r="H73" s="183"/>
      <c r="I73" s="239"/>
      <c r="J73" s="239"/>
      <c r="K73" s="239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</row>
    <row r="74" spans="5:22" x14ac:dyDescent="0.25">
      <c r="E74" s="183"/>
      <c r="F74" s="183"/>
      <c r="G74" s="183"/>
      <c r="H74" s="183"/>
      <c r="I74" s="239"/>
      <c r="J74" s="239"/>
      <c r="K74" s="239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</row>
    <row r="75" spans="5:22" x14ac:dyDescent="0.25">
      <c r="E75" s="183"/>
      <c r="F75" s="183"/>
      <c r="G75" s="183"/>
      <c r="H75" s="183"/>
      <c r="I75" s="239"/>
      <c r="J75" s="239"/>
      <c r="K75" s="239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</row>
    <row r="76" spans="5:22" x14ac:dyDescent="0.25">
      <c r="E76" s="183"/>
      <c r="F76" s="183"/>
      <c r="G76" s="183"/>
      <c r="H76" s="183"/>
      <c r="I76" s="239"/>
      <c r="J76" s="239"/>
      <c r="K76" s="239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</row>
    <row r="77" spans="5:22" x14ac:dyDescent="0.25">
      <c r="E77" s="183"/>
      <c r="F77" s="183"/>
      <c r="G77" s="183"/>
      <c r="H77" s="183"/>
      <c r="I77" s="239"/>
      <c r="J77" s="239"/>
      <c r="K77" s="239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</row>
    <row r="78" spans="5:22" x14ac:dyDescent="0.25">
      <c r="E78" s="183"/>
      <c r="F78" s="183"/>
      <c r="G78" s="183"/>
      <c r="H78" s="183"/>
      <c r="I78" s="239"/>
      <c r="J78" s="239"/>
      <c r="K78" s="239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</row>
    <row r="79" spans="5:22" x14ac:dyDescent="0.25">
      <c r="E79" s="183"/>
      <c r="F79" s="183"/>
      <c r="G79" s="183"/>
      <c r="H79" s="183"/>
      <c r="I79" s="239"/>
      <c r="J79" s="239"/>
      <c r="K79" s="239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</row>
    <row r="80" spans="5:22" x14ac:dyDescent="0.25">
      <c r="E80" s="183"/>
      <c r="F80" s="183"/>
      <c r="G80" s="183"/>
      <c r="H80" s="183"/>
      <c r="I80" s="239"/>
      <c r="J80" s="239"/>
      <c r="K80" s="239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</row>
    <row r="81" spans="5:22" x14ac:dyDescent="0.25">
      <c r="E81" s="183"/>
      <c r="F81" s="183"/>
      <c r="G81" s="183"/>
      <c r="H81" s="183"/>
      <c r="I81" s="239"/>
      <c r="J81" s="239"/>
      <c r="K81" s="239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</row>
    <row r="82" spans="5:22" x14ac:dyDescent="0.25">
      <c r="E82" s="183"/>
      <c r="F82" s="183"/>
      <c r="G82" s="183"/>
      <c r="H82" s="183"/>
      <c r="I82" s="239"/>
      <c r="J82" s="239"/>
      <c r="K82" s="239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</row>
    <row r="83" spans="5:22" x14ac:dyDescent="0.25">
      <c r="E83" s="183"/>
      <c r="F83" s="183"/>
      <c r="G83" s="183"/>
      <c r="H83" s="183"/>
      <c r="I83" s="239"/>
      <c r="J83" s="239"/>
      <c r="K83" s="239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</row>
    <row r="84" spans="5:22" x14ac:dyDescent="0.25">
      <c r="E84" s="183"/>
      <c r="F84" s="183"/>
      <c r="G84" s="183"/>
      <c r="H84" s="183"/>
      <c r="I84" s="239"/>
      <c r="J84" s="239"/>
      <c r="K84" s="239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</row>
    <row r="85" spans="5:22" x14ac:dyDescent="0.25">
      <c r="E85" s="183"/>
      <c r="F85" s="183"/>
      <c r="G85" s="183"/>
      <c r="H85" s="183"/>
      <c r="I85" s="239"/>
      <c r="J85" s="239"/>
      <c r="K85" s="239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</row>
    <row r="86" spans="5:22" x14ac:dyDescent="0.25">
      <c r="E86" s="183"/>
      <c r="F86" s="183"/>
      <c r="G86" s="183"/>
      <c r="H86" s="183"/>
      <c r="I86" s="239"/>
      <c r="J86" s="239"/>
      <c r="K86" s="239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</row>
    <row r="87" spans="5:22" x14ac:dyDescent="0.25">
      <c r="E87" s="183"/>
      <c r="F87" s="183"/>
      <c r="G87" s="183"/>
      <c r="H87" s="183"/>
      <c r="I87" s="239"/>
      <c r="J87" s="239"/>
      <c r="K87" s="239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</row>
    <row r="88" spans="5:22" x14ac:dyDescent="0.25">
      <c r="E88" s="183"/>
      <c r="F88" s="183"/>
      <c r="G88" s="183"/>
      <c r="H88" s="183"/>
      <c r="I88" s="239"/>
      <c r="J88" s="239"/>
      <c r="K88" s="239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</row>
    <row r="89" spans="5:22" x14ac:dyDescent="0.25">
      <c r="E89" s="183"/>
      <c r="F89" s="183"/>
      <c r="G89" s="183"/>
      <c r="H89" s="183"/>
      <c r="I89" s="239"/>
      <c r="J89" s="239"/>
      <c r="K89" s="239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</row>
    <row r="90" spans="5:22" x14ac:dyDescent="0.25">
      <c r="E90" s="183"/>
      <c r="F90" s="183"/>
      <c r="G90" s="183"/>
      <c r="H90" s="183"/>
      <c r="I90" s="239"/>
      <c r="J90" s="239"/>
      <c r="K90" s="239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</row>
    <row r="91" spans="5:22" x14ac:dyDescent="0.25">
      <c r="E91" s="183"/>
      <c r="F91" s="183"/>
      <c r="G91" s="183"/>
      <c r="H91" s="183"/>
      <c r="I91" s="239"/>
      <c r="J91" s="239"/>
      <c r="K91" s="239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</row>
    <row r="92" spans="5:22" x14ac:dyDescent="0.25">
      <c r="E92" s="183"/>
      <c r="F92" s="183"/>
      <c r="G92" s="183"/>
      <c r="H92" s="183"/>
      <c r="I92" s="239"/>
      <c r="J92" s="239"/>
      <c r="K92" s="239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</row>
    <row r="93" spans="5:22" x14ac:dyDescent="0.25">
      <c r="E93" s="183"/>
      <c r="F93" s="183"/>
      <c r="G93" s="183"/>
      <c r="H93" s="183"/>
      <c r="I93" s="239"/>
      <c r="J93" s="239"/>
      <c r="K93" s="239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</row>
    <row r="94" spans="5:22" x14ac:dyDescent="0.25">
      <c r="E94" s="183"/>
      <c r="F94" s="183"/>
      <c r="G94" s="183"/>
      <c r="H94" s="183"/>
      <c r="I94" s="239"/>
      <c r="J94" s="239"/>
      <c r="K94" s="239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</row>
    <row r="95" spans="5:22" x14ac:dyDescent="0.25">
      <c r="E95" s="183"/>
      <c r="F95" s="183"/>
      <c r="G95" s="183"/>
      <c r="H95" s="183"/>
      <c r="I95" s="239"/>
      <c r="J95" s="239"/>
      <c r="K95" s="239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</row>
    <row r="96" spans="5:22" x14ac:dyDescent="0.25">
      <c r="E96" s="183"/>
      <c r="F96" s="183"/>
      <c r="G96" s="183"/>
      <c r="H96" s="183"/>
      <c r="I96" s="239"/>
      <c r="J96" s="239"/>
      <c r="K96" s="239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</row>
    <row r="97" spans="5:22" x14ac:dyDescent="0.25">
      <c r="E97" s="183"/>
      <c r="F97" s="183"/>
      <c r="G97" s="183"/>
      <c r="H97" s="183"/>
      <c r="I97" s="239"/>
      <c r="J97" s="239"/>
      <c r="K97" s="239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</row>
    <row r="98" spans="5:22" x14ac:dyDescent="0.25">
      <c r="E98" s="183"/>
      <c r="F98" s="183"/>
      <c r="G98" s="183"/>
      <c r="H98" s="183"/>
      <c r="I98" s="239"/>
      <c r="J98" s="239"/>
      <c r="K98" s="239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</row>
    <row r="99" spans="5:22" x14ac:dyDescent="0.25">
      <c r="E99" s="183"/>
      <c r="F99" s="183"/>
      <c r="G99" s="183"/>
      <c r="H99" s="183"/>
      <c r="I99" s="239"/>
      <c r="J99" s="239"/>
      <c r="K99" s="239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</row>
    <row r="100" spans="5:22" x14ac:dyDescent="0.25">
      <c r="E100" s="183"/>
      <c r="F100" s="183"/>
      <c r="G100" s="183"/>
      <c r="H100" s="183"/>
      <c r="I100" s="239"/>
      <c r="J100" s="239"/>
      <c r="K100" s="239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</row>
    <row r="101" spans="5:22" x14ac:dyDescent="0.25">
      <c r="E101" s="183"/>
      <c r="F101" s="183"/>
      <c r="G101" s="183"/>
      <c r="H101" s="183"/>
      <c r="I101" s="239"/>
      <c r="J101" s="239"/>
      <c r="K101" s="239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</row>
    <row r="102" spans="5:22" x14ac:dyDescent="0.25">
      <c r="E102" s="183"/>
      <c r="F102" s="183"/>
      <c r="G102" s="183"/>
      <c r="H102" s="183"/>
      <c r="I102" s="239"/>
      <c r="J102" s="239"/>
      <c r="K102" s="239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</row>
    <row r="103" spans="5:22" x14ac:dyDescent="0.25">
      <c r="E103" s="183"/>
      <c r="F103" s="183"/>
      <c r="G103" s="183"/>
      <c r="H103" s="183"/>
      <c r="I103" s="239"/>
      <c r="J103" s="239"/>
      <c r="K103" s="239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</row>
    <row r="104" spans="5:22" x14ac:dyDescent="0.25">
      <c r="E104" s="183"/>
      <c r="F104" s="183"/>
      <c r="G104" s="183"/>
      <c r="H104" s="183"/>
      <c r="I104" s="239"/>
      <c r="J104" s="239"/>
      <c r="K104" s="239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</row>
    <row r="105" spans="5:22" x14ac:dyDescent="0.25">
      <c r="E105" s="183"/>
      <c r="F105" s="183"/>
      <c r="G105" s="183"/>
      <c r="H105" s="183"/>
      <c r="I105" s="239"/>
      <c r="J105" s="239"/>
      <c r="K105" s="239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</row>
    <row r="106" spans="5:22" x14ac:dyDescent="0.25">
      <c r="E106" s="183"/>
      <c r="F106" s="183"/>
      <c r="G106" s="183"/>
      <c r="H106" s="183"/>
      <c r="I106" s="239"/>
      <c r="J106" s="239"/>
      <c r="K106" s="239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</row>
    <row r="107" spans="5:22" x14ac:dyDescent="0.25">
      <c r="E107" s="183"/>
      <c r="F107" s="183"/>
      <c r="G107" s="183"/>
      <c r="H107" s="183"/>
      <c r="I107" s="239"/>
      <c r="J107" s="239"/>
      <c r="K107" s="239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</row>
    <row r="108" spans="5:22" x14ac:dyDescent="0.25">
      <c r="E108" s="183"/>
      <c r="F108" s="183"/>
      <c r="G108" s="183"/>
      <c r="H108" s="183"/>
      <c r="I108" s="239"/>
      <c r="J108" s="239"/>
      <c r="K108" s="239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</row>
    <row r="109" spans="5:22" x14ac:dyDescent="0.25">
      <c r="E109" s="183"/>
      <c r="F109" s="183"/>
      <c r="G109" s="183"/>
      <c r="H109" s="183"/>
      <c r="I109" s="239"/>
      <c r="J109" s="239"/>
      <c r="K109" s="239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</row>
    <row r="110" spans="5:22" x14ac:dyDescent="0.25">
      <c r="E110" s="183"/>
      <c r="F110" s="183"/>
      <c r="G110" s="183"/>
      <c r="H110" s="183"/>
      <c r="I110" s="239"/>
      <c r="J110" s="239"/>
      <c r="K110" s="239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</row>
    <row r="111" spans="5:22" x14ac:dyDescent="0.25">
      <c r="E111" s="183"/>
      <c r="F111" s="183"/>
      <c r="G111" s="183"/>
      <c r="H111" s="183"/>
      <c r="I111" s="239"/>
      <c r="J111" s="239"/>
      <c r="K111" s="239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</row>
    <row r="112" spans="5:22" x14ac:dyDescent="0.25">
      <c r="E112" s="183"/>
      <c r="F112" s="183"/>
      <c r="G112" s="183"/>
      <c r="H112" s="183"/>
      <c r="I112" s="239"/>
      <c r="J112" s="239"/>
      <c r="K112" s="239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</row>
    <row r="113" spans="5:22" x14ac:dyDescent="0.25">
      <c r="E113" s="183"/>
      <c r="F113" s="183"/>
      <c r="G113" s="183"/>
      <c r="H113" s="183"/>
      <c r="I113" s="239"/>
      <c r="J113" s="239"/>
      <c r="K113" s="239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</row>
    <row r="114" spans="5:22" x14ac:dyDescent="0.25">
      <c r="E114" s="183"/>
      <c r="F114" s="183"/>
      <c r="G114" s="183"/>
      <c r="H114" s="183"/>
      <c r="I114" s="239"/>
      <c r="J114" s="239"/>
      <c r="K114" s="239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</row>
    <row r="115" spans="5:22" x14ac:dyDescent="0.25">
      <c r="E115" s="183"/>
      <c r="F115" s="183"/>
      <c r="G115" s="183"/>
      <c r="H115" s="183"/>
      <c r="I115" s="239"/>
      <c r="J115" s="239"/>
      <c r="K115" s="239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</row>
    <row r="116" spans="5:22" x14ac:dyDescent="0.25">
      <c r="E116" s="183"/>
      <c r="F116" s="183"/>
      <c r="G116" s="183"/>
      <c r="H116" s="183"/>
      <c r="I116" s="239"/>
      <c r="J116" s="239"/>
      <c r="K116" s="239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</row>
    <row r="117" spans="5:22" x14ac:dyDescent="0.25">
      <c r="E117" s="183"/>
      <c r="F117" s="183"/>
      <c r="G117" s="183"/>
      <c r="H117" s="183"/>
      <c r="I117" s="239"/>
      <c r="J117" s="239"/>
      <c r="K117" s="239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</row>
    <row r="118" spans="5:22" x14ac:dyDescent="0.25">
      <c r="E118" s="183"/>
      <c r="F118" s="183"/>
      <c r="G118" s="183"/>
      <c r="H118" s="183"/>
      <c r="I118" s="239"/>
      <c r="J118" s="239"/>
      <c r="K118" s="239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</row>
    <row r="119" spans="5:22" x14ac:dyDescent="0.25">
      <c r="E119" s="183"/>
      <c r="F119" s="183"/>
      <c r="G119" s="183"/>
      <c r="H119" s="183"/>
      <c r="I119" s="239"/>
      <c r="J119" s="239"/>
      <c r="K119" s="239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</row>
    <row r="120" spans="5:22" x14ac:dyDescent="0.25">
      <c r="E120" s="183"/>
      <c r="F120" s="183"/>
      <c r="G120" s="183"/>
      <c r="H120" s="183"/>
      <c r="I120" s="239"/>
      <c r="J120" s="239"/>
      <c r="K120" s="239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</row>
    <row r="121" spans="5:22" x14ac:dyDescent="0.25">
      <c r="E121" s="183"/>
      <c r="F121" s="183"/>
      <c r="G121" s="183"/>
      <c r="H121" s="183"/>
      <c r="I121" s="239"/>
      <c r="J121" s="239"/>
      <c r="K121" s="239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</row>
    <row r="122" spans="5:22" x14ac:dyDescent="0.25">
      <c r="E122" s="183"/>
      <c r="F122" s="183"/>
      <c r="G122" s="183"/>
      <c r="H122" s="183"/>
      <c r="I122" s="239"/>
      <c r="J122" s="239"/>
      <c r="K122" s="239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</row>
    <row r="123" spans="5:22" x14ac:dyDescent="0.25">
      <c r="E123" s="183"/>
      <c r="F123" s="183"/>
      <c r="G123" s="183"/>
      <c r="H123" s="183"/>
      <c r="I123" s="239"/>
      <c r="J123" s="239"/>
      <c r="K123" s="239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</row>
    <row r="124" spans="5:22" x14ac:dyDescent="0.25">
      <c r="E124" s="183"/>
      <c r="F124" s="183"/>
      <c r="G124" s="183"/>
      <c r="H124" s="183"/>
      <c r="I124" s="239"/>
      <c r="J124" s="239"/>
      <c r="K124" s="239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</row>
    <row r="125" spans="5:22" x14ac:dyDescent="0.25">
      <c r="E125" s="183"/>
      <c r="F125" s="183"/>
      <c r="G125" s="183"/>
      <c r="H125" s="183"/>
      <c r="I125" s="239"/>
      <c r="J125" s="239"/>
      <c r="K125" s="239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</row>
    <row r="126" spans="5:22" x14ac:dyDescent="0.25">
      <c r="E126" s="183"/>
      <c r="F126" s="183"/>
      <c r="G126" s="183"/>
      <c r="H126" s="183"/>
      <c r="I126" s="239"/>
      <c r="J126" s="239"/>
      <c r="K126" s="239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</row>
    <row r="127" spans="5:22" x14ac:dyDescent="0.25">
      <c r="E127" s="183"/>
      <c r="F127" s="183"/>
      <c r="G127" s="183"/>
      <c r="H127" s="183"/>
      <c r="I127" s="239"/>
      <c r="J127" s="239"/>
      <c r="K127" s="239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</row>
    <row r="128" spans="5:22" x14ac:dyDescent="0.25">
      <c r="E128" s="183"/>
      <c r="F128" s="183"/>
      <c r="G128" s="183"/>
      <c r="H128" s="183"/>
      <c r="I128" s="239"/>
      <c r="J128" s="239"/>
      <c r="K128" s="239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</row>
    <row r="129" spans="5:22" x14ac:dyDescent="0.25">
      <c r="E129" s="183"/>
      <c r="F129" s="183"/>
      <c r="G129" s="183"/>
      <c r="H129" s="183"/>
      <c r="I129" s="239"/>
      <c r="J129" s="239"/>
      <c r="K129" s="239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</row>
    <row r="130" spans="5:22" x14ac:dyDescent="0.25">
      <c r="E130" s="183"/>
      <c r="F130" s="183"/>
      <c r="G130" s="183"/>
      <c r="H130" s="183"/>
      <c r="I130" s="239"/>
      <c r="J130" s="239"/>
      <c r="K130" s="239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</row>
    <row r="131" spans="5:22" x14ac:dyDescent="0.25">
      <c r="E131" s="183"/>
      <c r="F131" s="183"/>
      <c r="G131" s="183"/>
      <c r="H131" s="183"/>
      <c r="I131" s="239"/>
      <c r="J131" s="239"/>
      <c r="K131" s="239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</row>
    <row r="132" spans="5:22" x14ac:dyDescent="0.25">
      <c r="E132" s="183"/>
      <c r="F132" s="183"/>
      <c r="G132" s="183"/>
      <c r="H132" s="183"/>
      <c r="I132" s="239"/>
      <c r="J132" s="239"/>
      <c r="K132" s="239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</row>
    <row r="133" spans="5:22" x14ac:dyDescent="0.25">
      <c r="E133" s="183"/>
      <c r="F133" s="183"/>
      <c r="G133" s="183"/>
      <c r="H133" s="183"/>
      <c r="I133" s="239"/>
      <c r="J133" s="239"/>
      <c r="K133" s="239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</row>
    <row r="134" spans="5:22" x14ac:dyDescent="0.25">
      <c r="E134" s="183"/>
      <c r="F134" s="183"/>
      <c r="G134" s="183"/>
      <c r="H134" s="183"/>
      <c r="I134" s="239"/>
      <c r="J134" s="239"/>
      <c r="K134" s="239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</row>
    <row r="135" spans="5:22" x14ac:dyDescent="0.25">
      <c r="E135" s="183"/>
      <c r="F135" s="183"/>
      <c r="G135" s="183"/>
      <c r="H135" s="183"/>
      <c r="I135" s="239"/>
      <c r="J135" s="239"/>
      <c r="K135" s="239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</row>
    <row r="136" spans="5:22" x14ac:dyDescent="0.25">
      <c r="E136" s="183"/>
      <c r="F136" s="183"/>
      <c r="G136" s="183"/>
      <c r="H136" s="183"/>
      <c r="I136" s="239"/>
      <c r="J136" s="239"/>
      <c r="K136" s="239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</row>
    <row r="137" spans="5:22" x14ac:dyDescent="0.25">
      <c r="E137" s="183"/>
      <c r="F137" s="183"/>
      <c r="G137" s="183"/>
      <c r="H137" s="183"/>
      <c r="I137" s="239"/>
      <c r="J137" s="239"/>
      <c r="K137" s="239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</row>
    <row r="138" spans="5:22" x14ac:dyDescent="0.25">
      <c r="E138" s="183"/>
      <c r="F138" s="183"/>
      <c r="G138" s="183"/>
      <c r="H138" s="183"/>
      <c r="I138" s="239"/>
      <c r="J138" s="239"/>
      <c r="K138" s="239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</row>
    <row r="139" spans="5:22" x14ac:dyDescent="0.25">
      <c r="E139" s="183"/>
      <c r="F139" s="183"/>
      <c r="G139" s="183"/>
      <c r="H139" s="183"/>
      <c r="I139" s="239"/>
      <c r="J139" s="239"/>
      <c r="K139" s="239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</row>
    <row r="140" spans="5:22" x14ac:dyDescent="0.25">
      <c r="E140" s="183"/>
      <c r="F140" s="183"/>
      <c r="G140" s="183"/>
      <c r="H140" s="183"/>
      <c r="I140" s="239"/>
      <c r="J140" s="239"/>
      <c r="K140" s="239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5:22" x14ac:dyDescent="0.25">
      <c r="E141" s="183"/>
      <c r="F141" s="183"/>
      <c r="G141" s="183"/>
      <c r="H141" s="183"/>
      <c r="I141" s="239"/>
      <c r="J141" s="239"/>
      <c r="K141" s="239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</row>
    <row r="142" spans="5:22" x14ac:dyDescent="0.25">
      <c r="E142" s="183"/>
      <c r="F142" s="183"/>
      <c r="G142" s="183"/>
      <c r="H142" s="183"/>
      <c r="I142" s="239"/>
      <c r="J142" s="239"/>
      <c r="K142" s="239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</row>
    <row r="143" spans="5:22" x14ac:dyDescent="0.25">
      <c r="E143" s="183"/>
      <c r="F143" s="183"/>
      <c r="G143" s="183"/>
      <c r="H143" s="183"/>
      <c r="I143" s="239"/>
      <c r="J143" s="239"/>
      <c r="K143" s="239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</row>
    <row r="144" spans="5:22" x14ac:dyDescent="0.25">
      <c r="E144" s="183"/>
      <c r="F144" s="183"/>
      <c r="G144" s="183"/>
      <c r="H144" s="183"/>
      <c r="I144" s="239"/>
      <c r="J144" s="239"/>
      <c r="K144" s="239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</row>
    <row r="145" spans="5:22" x14ac:dyDescent="0.25">
      <c r="E145" s="183"/>
      <c r="F145" s="183"/>
      <c r="G145" s="183"/>
      <c r="H145" s="183"/>
      <c r="I145" s="239"/>
      <c r="J145" s="239"/>
      <c r="K145" s="239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</row>
    <row r="146" spans="5:22" x14ac:dyDescent="0.25">
      <c r="E146" s="183"/>
      <c r="F146" s="183"/>
      <c r="G146" s="183"/>
      <c r="H146" s="183"/>
      <c r="I146" s="239"/>
      <c r="J146" s="239"/>
      <c r="K146" s="239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</row>
    <row r="147" spans="5:22" x14ac:dyDescent="0.25">
      <c r="E147" s="183"/>
      <c r="F147" s="183"/>
      <c r="G147" s="183"/>
      <c r="H147" s="183"/>
      <c r="I147" s="239"/>
      <c r="J147" s="239"/>
      <c r="K147" s="239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</row>
    <row r="148" spans="5:22" x14ac:dyDescent="0.25">
      <c r="E148" s="183"/>
      <c r="F148" s="183"/>
      <c r="G148" s="183"/>
      <c r="H148" s="183"/>
      <c r="I148" s="239"/>
      <c r="J148" s="239"/>
      <c r="K148" s="239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</row>
    <row r="149" spans="5:22" x14ac:dyDescent="0.25">
      <c r="E149" s="183"/>
      <c r="F149" s="183"/>
      <c r="G149" s="183"/>
      <c r="H149" s="183"/>
      <c r="I149" s="239"/>
      <c r="J149" s="239"/>
      <c r="K149" s="239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</row>
    <row r="150" spans="5:22" x14ac:dyDescent="0.25">
      <c r="E150" s="183"/>
      <c r="F150" s="183"/>
      <c r="G150" s="183"/>
      <c r="H150" s="183"/>
      <c r="I150" s="239"/>
      <c r="J150" s="239"/>
      <c r="K150" s="239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</row>
    <row r="151" spans="5:22" x14ac:dyDescent="0.25">
      <c r="E151" s="183"/>
      <c r="F151" s="183"/>
      <c r="G151" s="183"/>
      <c r="H151" s="183"/>
      <c r="I151" s="239"/>
      <c r="J151" s="239"/>
      <c r="K151" s="239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</row>
    <row r="152" spans="5:22" x14ac:dyDescent="0.25">
      <c r="E152" s="183"/>
      <c r="F152" s="183"/>
      <c r="G152" s="183"/>
      <c r="H152" s="183"/>
      <c r="I152" s="239"/>
      <c r="J152" s="239"/>
      <c r="K152" s="239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</row>
    <row r="153" spans="5:22" x14ac:dyDescent="0.25">
      <c r="E153" s="183"/>
      <c r="F153" s="183"/>
      <c r="G153" s="183"/>
      <c r="H153" s="183"/>
      <c r="I153" s="239"/>
      <c r="J153" s="239"/>
      <c r="K153" s="239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</row>
    <row r="154" spans="5:22" x14ac:dyDescent="0.25">
      <c r="E154" s="183"/>
      <c r="F154" s="183"/>
      <c r="G154" s="183"/>
      <c r="H154" s="183"/>
      <c r="I154" s="239"/>
      <c r="J154" s="239"/>
      <c r="K154" s="239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</row>
    <row r="155" spans="5:22" x14ac:dyDescent="0.25">
      <c r="E155" s="183"/>
      <c r="F155" s="183"/>
      <c r="G155" s="183"/>
      <c r="H155" s="183"/>
      <c r="I155" s="239"/>
      <c r="J155" s="239"/>
      <c r="K155" s="239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</row>
    <row r="156" spans="5:22" x14ac:dyDescent="0.25">
      <c r="E156" s="183"/>
      <c r="F156" s="183"/>
      <c r="G156" s="183"/>
      <c r="H156" s="183"/>
      <c r="I156" s="239"/>
      <c r="J156" s="239"/>
      <c r="K156" s="239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</row>
    <row r="157" spans="5:22" x14ac:dyDescent="0.25">
      <c r="E157" s="183"/>
      <c r="F157" s="183"/>
      <c r="G157" s="183"/>
      <c r="H157" s="183"/>
      <c r="I157" s="239"/>
      <c r="J157" s="239"/>
      <c r="K157" s="239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</row>
    <row r="158" spans="5:22" x14ac:dyDescent="0.25">
      <c r="E158" s="183"/>
      <c r="F158" s="183"/>
      <c r="G158" s="183"/>
      <c r="H158" s="183"/>
      <c r="I158" s="239"/>
      <c r="J158" s="239"/>
      <c r="K158" s="239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</row>
    <row r="159" spans="5:22" x14ac:dyDescent="0.25">
      <c r="E159" s="183"/>
      <c r="F159" s="183"/>
      <c r="G159" s="183"/>
      <c r="H159" s="183"/>
      <c r="I159" s="239"/>
      <c r="J159" s="239"/>
      <c r="K159" s="239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</row>
    <row r="160" spans="5:22" x14ac:dyDescent="0.25">
      <c r="E160" s="183"/>
      <c r="F160" s="183"/>
      <c r="G160" s="183"/>
      <c r="H160" s="183"/>
      <c r="I160" s="239"/>
      <c r="J160" s="239"/>
      <c r="K160" s="239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</row>
    <row r="161" spans="5:22" x14ac:dyDescent="0.25">
      <c r="E161" s="183"/>
      <c r="F161" s="183"/>
      <c r="G161" s="183"/>
      <c r="H161" s="183"/>
      <c r="I161" s="239"/>
      <c r="J161" s="239"/>
      <c r="K161" s="239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</row>
    <row r="162" spans="5:22" x14ac:dyDescent="0.25">
      <c r="E162" s="183"/>
      <c r="F162" s="183"/>
      <c r="G162" s="183"/>
      <c r="H162" s="183"/>
      <c r="I162" s="239"/>
      <c r="J162" s="239"/>
      <c r="K162" s="239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</row>
    <row r="163" spans="5:22" x14ac:dyDescent="0.25">
      <c r="E163" s="183"/>
      <c r="F163" s="183"/>
      <c r="G163" s="183"/>
      <c r="H163" s="183"/>
      <c r="I163" s="239"/>
      <c r="J163" s="239"/>
      <c r="K163" s="239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</row>
    <row r="164" spans="5:22" x14ac:dyDescent="0.25">
      <c r="E164" s="183"/>
      <c r="F164" s="183"/>
      <c r="G164" s="183"/>
      <c r="H164" s="183"/>
      <c r="I164" s="239"/>
      <c r="J164" s="239"/>
      <c r="K164" s="239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</row>
    <row r="165" spans="5:22" x14ac:dyDescent="0.25">
      <c r="E165" s="183"/>
      <c r="F165" s="183"/>
      <c r="G165" s="183"/>
      <c r="H165" s="183"/>
      <c r="I165" s="239"/>
      <c r="J165" s="239"/>
      <c r="K165" s="239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</row>
    <row r="166" spans="5:22" x14ac:dyDescent="0.25">
      <c r="E166" s="183"/>
      <c r="F166" s="183"/>
      <c r="G166" s="183"/>
      <c r="H166" s="183"/>
      <c r="I166" s="239"/>
      <c r="J166" s="239"/>
      <c r="K166" s="239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</row>
    <row r="167" spans="5:22" x14ac:dyDescent="0.25">
      <c r="E167" s="183"/>
      <c r="F167" s="183"/>
      <c r="G167" s="183"/>
      <c r="H167" s="183"/>
      <c r="I167" s="239"/>
      <c r="J167" s="239"/>
      <c r="K167" s="239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</row>
    <row r="168" spans="5:22" x14ac:dyDescent="0.25">
      <c r="E168" s="183"/>
      <c r="F168" s="183"/>
      <c r="G168" s="183"/>
      <c r="H168" s="183"/>
      <c r="I168" s="239"/>
      <c r="J168" s="239"/>
      <c r="K168" s="239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</row>
    <row r="169" spans="5:22" x14ac:dyDescent="0.25">
      <c r="E169" s="183"/>
      <c r="F169" s="183"/>
      <c r="G169" s="183"/>
      <c r="H169" s="183"/>
      <c r="I169" s="239"/>
      <c r="J169" s="239"/>
      <c r="K169" s="239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</row>
    <row r="170" spans="5:22" x14ac:dyDescent="0.25">
      <c r="E170" s="183"/>
      <c r="F170" s="183"/>
      <c r="G170" s="183"/>
      <c r="H170" s="183"/>
      <c r="I170" s="239"/>
      <c r="J170" s="239"/>
      <c r="K170" s="239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</row>
    <row r="171" spans="5:22" x14ac:dyDescent="0.25">
      <c r="E171" s="183"/>
      <c r="F171" s="183"/>
      <c r="G171" s="183"/>
      <c r="H171" s="183"/>
      <c r="I171" s="239"/>
      <c r="J171" s="239"/>
      <c r="K171" s="239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</row>
    <row r="172" spans="5:22" x14ac:dyDescent="0.25">
      <c r="E172" s="183"/>
      <c r="F172" s="183"/>
      <c r="G172" s="183"/>
      <c r="H172" s="183"/>
      <c r="I172" s="239"/>
      <c r="J172" s="239"/>
      <c r="K172" s="239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</row>
    <row r="173" spans="5:22" x14ac:dyDescent="0.25">
      <c r="E173" s="183"/>
      <c r="F173" s="183"/>
      <c r="G173" s="183"/>
      <c r="H173" s="183"/>
      <c r="I173" s="239"/>
      <c r="J173" s="239"/>
      <c r="K173" s="239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</row>
    <row r="174" spans="5:22" x14ac:dyDescent="0.25">
      <c r="E174" s="183"/>
      <c r="F174" s="183"/>
      <c r="G174" s="183"/>
      <c r="H174" s="183"/>
      <c r="I174" s="239"/>
      <c r="J174" s="239"/>
      <c r="K174" s="239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</row>
    <row r="175" spans="5:22" x14ac:dyDescent="0.25">
      <c r="E175" s="183"/>
      <c r="F175" s="183"/>
      <c r="G175" s="183"/>
      <c r="H175" s="183"/>
      <c r="I175" s="239"/>
      <c r="J175" s="239"/>
      <c r="K175" s="239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</row>
    <row r="176" spans="5:22" x14ac:dyDescent="0.25">
      <c r="E176" s="183"/>
      <c r="F176" s="183"/>
      <c r="G176" s="183"/>
      <c r="H176" s="183"/>
      <c r="I176" s="239"/>
      <c r="J176" s="239"/>
      <c r="K176" s="239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</row>
    <row r="177" spans="5:22" x14ac:dyDescent="0.25">
      <c r="E177" s="183"/>
      <c r="F177" s="183"/>
      <c r="G177" s="183"/>
      <c r="H177" s="183"/>
      <c r="I177" s="239"/>
      <c r="J177" s="239"/>
      <c r="K177" s="239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</row>
    <row r="178" spans="5:22" x14ac:dyDescent="0.25">
      <c r="E178" s="183"/>
      <c r="F178" s="183"/>
      <c r="G178" s="183"/>
      <c r="H178" s="183"/>
      <c r="I178" s="239"/>
      <c r="J178" s="239"/>
      <c r="K178" s="239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</row>
    <row r="179" spans="5:22" x14ac:dyDescent="0.25">
      <c r="E179" s="183"/>
      <c r="F179" s="183"/>
      <c r="G179" s="183"/>
      <c r="H179" s="183"/>
      <c r="I179" s="239"/>
      <c r="J179" s="239"/>
      <c r="K179" s="239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</row>
    <row r="180" spans="5:22" x14ac:dyDescent="0.25">
      <c r="E180" s="183"/>
      <c r="F180" s="183"/>
      <c r="G180" s="183"/>
      <c r="H180" s="183"/>
      <c r="I180" s="239"/>
      <c r="J180" s="239"/>
      <c r="K180" s="239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</row>
    <row r="181" spans="5:22" x14ac:dyDescent="0.25">
      <c r="E181" s="183"/>
      <c r="F181" s="183"/>
      <c r="G181" s="183"/>
      <c r="H181" s="183"/>
      <c r="I181" s="239"/>
      <c r="J181" s="239"/>
      <c r="K181" s="239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</row>
    <row r="182" spans="5:22" x14ac:dyDescent="0.25">
      <c r="E182" s="183"/>
      <c r="F182" s="183"/>
      <c r="G182" s="183"/>
      <c r="H182" s="183"/>
      <c r="I182" s="239"/>
      <c r="J182" s="239"/>
      <c r="K182" s="239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</row>
    <row r="183" spans="5:22" x14ac:dyDescent="0.25">
      <c r="E183" s="183"/>
      <c r="F183" s="183"/>
      <c r="G183" s="183"/>
      <c r="H183" s="183"/>
      <c r="I183" s="239"/>
      <c r="J183" s="239"/>
      <c r="K183" s="239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</row>
    <row r="184" spans="5:22" x14ac:dyDescent="0.25">
      <c r="E184" s="183"/>
      <c r="F184" s="183"/>
      <c r="G184" s="183"/>
      <c r="H184" s="183"/>
      <c r="I184" s="239"/>
      <c r="J184" s="239"/>
      <c r="K184" s="239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</row>
    <row r="185" spans="5:22" x14ac:dyDescent="0.25">
      <c r="E185" s="183"/>
      <c r="F185" s="183"/>
      <c r="G185" s="183"/>
      <c r="H185" s="183"/>
      <c r="I185" s="239"/>
      <c r="J185" s="239"/>
      <c r="K185" s="239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</row>
    <row r="186" spans="5:22" x14ac:dyDescent="0.25">
      <c r="E186" s="183"/>
      <c r="F186" s="183"/>
      <c r="G186" s="183"/>
      <c r="H186" s="183"/>
      <c r="I186" s="239"/>
      <c r="J186" s="239"/>
      <c r="K186" s="239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</row>
    <row r="187" spans="5:22" x14ac:dyDescent="0.25">
      <c r="E187" s="183"/>
      <c r="F187" s="183"/>
      <c r="G187" s="183"/>
      <c r="H187" s="183"/>
      <c r="I187" s="239"/>
      <c r="J187" s="239"/>
      <c r="K187" s="239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</row>
    <row r="188" spans="5:22" x14ac:dyDescent="0.25">
      <c r="E188" s="183"/>
      <c r="F188" s="183"/>
      <c r="G188" s="183"/>
      <c r="H188" s="183"/>
      <c r="I188" s="239"/>
      <c r="J188" s="239"/>
      <c r="K188" s="239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</row>
    <row r="189" spans="5:22" x14ac:dyDescent="0.25">
      <c r="E189" s="183"/>
      <c r="F189" s="183"/>
      <c r="G189" s="183"/>
      <c r="H189" s="183"/>
      <c r="I189" s="239"/>
      <c r="J189" s="239"/>
      <c r="K189" s="239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</row>
    <row r="190" spans="5:22" x14ac:dyDescent="0.25">
      <c r="E190" s="183"/>
      <c r="F190" s="183"/>
      <c r="G190" s="183"/>
      <c r="H190" s="183"/>
      <c r="I190" s="239"/>
      <c r="J190" s="239"/>
      <c r="K190" s="239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</row>
    <row r="191" spans="5:22" x14ac:dyDescent="0.25">
      <c r="E191" s="183"/>
      <c r="F191" s="183"/>
      <c r="G191" s="183"/>
      <c r="H191" s="183"/>
      <c r="I191" s="239"/>
      <c r="J191" s="239"/>
      <c r="K191" s="239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</row>
    <row r="192" spans="5:22" x14ac:dyDescent="0.25">
      <c r="E192" s="183"/>
      <c r="F192" s="183"/>
      <c r="G192" s="183"/>
      <c r="H192" s="183"/>
      <c r="I192" s="239"/>
      <c r="J192" s="239"/>
      <c r="K192" s="239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</row>
    <row r="193" spans="5:22" x14ac:dyDescent="0.25">
      <c r="E193" s="183"/>
      <c r="F193" s="183"/>
      <c r="G193" s="183"/>
      <c r="H193" s="183"/>
      <c r="I193" s="239"/>
      <c r="J193" s="239"/>
      <c r="K193" s="239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</row>
    <row r="194" spans="5:22" x14ac:dyDescent="0.25">
      <c r="E194" s="183"/>
      <c r="F194" s="183"/>
      <c r="G194" s="183"/>
      <c r="H194" s="183"/>
      <c r="I194" s="239"/>
      <c r="J194" s="239"/>
      <c r="K194" s="239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</row>
    <row r="195" spans="5:22" x14ac:dyDescent="0.25">
      <c r="E195" s="183"/>
      <c r="F195" s="183"/>
      <c r="G195" s="183"/>
      <c r="H195" s="183"/>
      <c r="I195" s="239"/>
      <c r="J195" s="239"/>
      <c r="K195" s="239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</row>
    <row r="196" spans="5:22" x14ac:dyDescent="0.25">
      <c r="E196" s="183"/>
      <c r="F196" s="183"/>
      <c r="G196" s="183"/>
      <c r="H196" s="183"/>
      <c r="I196" s="239"/>
      <c r="J196" s="239"/>
      <c r="K196" s="239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</row>
    <row r="197" spans="5:22" x14ac:dyDescent="0.25">
      <c r="E197" s="183"/>
      <c r="F197" s="183"/>
      <c r="G197" s="183"/>
      <c r="H197" s="183"/>
      <c r="I197" s="239"/>
      <c r="J197" s="239"/>
      <c r="K197" s="239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</row>
    <row r="198" spans="5:22" x14ac:dyDescent="0.25">
      <c r="E198" s="183"/>
      <c r="F198" s="183"/>
      <c r="G198" s="183"/>
      <c r="H198" s="183"/>
      <c r="I198" s="239"/>
      <c r="J198" s="239"/>
      <c r="K198" s="239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</row>
    <row r="199" spans="5:22" x14ac:dyDescent="0.25">
      <c r="E199" s="183"/>
      <c r="F199" s="183"/>
      <c r="G199" s="183"/>
      <c r="H199" s="183"/>
      <c r="I199" s="239"/>
      <c r="J199" s="239"/>
      <c r="K199" s="239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</row>
    <row r="200" spans="5:22" x14ac:dyDescent="0.25">
      <c r="E200" s="183"/>
      <c r="F200" s="183"/>
      <c r="G200" s="183"/>
      <c r="H200" s="183"/>
      <c r="I200" s="239"/>
      <c r="J200" s="239"/>
      <c r="K200" s="239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</row>
    <row r="201" spans="5:22" x14ac:dyDescent="0.25">
      <c r="E201" s="183"/>
      <c r="F201" s="183"/>
      <c r="G201" s="183"/>
      <c r="H201" s="183"/>
      <c r="I201" s="239"/>
      <c r="J201" s="239"/>
      <c r="K201" s="239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</row>
    <row r="202" spans="5:22" x14ac:dyDescent="0.25">
      <c r="E202" s="183"/>
      <c r="F202" s="183"/>
      <c r="G202" s="183"/>
      <c r="H202" s="183"/>
      <c r="I202" s="239"/>
      <c r="J202" s="239"/>
      <c r="K202" s="239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</row>
    <row r="203" spans="5:22" x14ac:dyDescent="0.25">
      <c r="E203" s="183"/>
      <c r="F203" s="183"/>
      <c r="G203" s="183"/>
      <c r="H203" s="183"/>
      <c r="I203" s="239"/>
      <c r="J203" s="239"/>
      <c r="K203" s="239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</row>
    <row r="204" spans="5:22" x14ac:dyDescent="0.25">
      <c r="E204" s="183"/>
      <c r="F204" s="183"/>
      <c r="G204" s="183"/>
      <c r="H204" s="183"/>
      <c r="I204" s="239"/>
      <c r="J204" s="239"/>
      <c r="K204" s="239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</row>
    <row r="205" spans="5:22" x14ac:dyDescent="0.25">
      <c r="E205" s="183"/>
      <c r="F205" s="183"/>
      <c r="G205" s="183"/>
      <c r="H205" s="183"/>
      <c r="I205" s="239"/>
      <c r="J205" s="239"/>
      <c r="K205" s="239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</row>
    <row r="206" spans="5:22" x14ac:dyDescent="0.25">
      <c r="E206" s="183"/>
      <c r="F206" s="183"/>
      <c r="G206" s="183"/>
      <c r="H206" s="183"/>
      <c r="I206" s="239"/>
      <c r="J206" s="239"/>
      <c r="K206" s="239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</row>
    <row r="207" spans="5:22" x14ac:dyDescent="0.25">
      <c r="E207" s="183"/>
      <c r="F207" s="183"/>
      <c r="G207" s="183"/>
      <c r="H207" s="183"/>
      <c r="I207" s="239"/>
      <c r="J207" s="239"/>
      <c r="K207" s="239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</row>
    <row r="208" spans="5:22" x14ac:dyDescent="0.25">
      <c r="E208" s="183"/>
      <c r="F208" s="183"/>
      <c r="G208" s="183"/>
      <c r="H208" s="183"/>
      <c r="I208" s="239"/>
      <c r="J208" s="239"/>
      <c r="K208" s="239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</row>
    <row r="209" spans="5:22" x14ac:dyDescent="0.25">
      <c r="E209" s="183"/>
      <c r="F209" s="183"/>
      <c r="G209" s="183"/>
      <c r="H209" s="183"/>
      <c r="I209" s="239"/>
      <c r="J209" s="239"/>
      <c r="K209" s="239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</row>
    <row r="210" spans="5:22" x14ac:dyDescent="0.25">
      <c r="E210" s="183"/>
      <c r="F210" s="183"/>
      <c r="G210" s="183"/>
      <c r="H210" s="183"/>
      <c r="I210" s="239"/>
      <c r="J210" s="239"/>
      <c r="K210" s="239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</row>
    <row r="211" spans="5:22" x14ac:dyDescent="0.25">
      <c r="E211" s="183"/>
      <c r="F211" s="183"/>
      <c r="G211" s="183"/>
      <c r="H211" s="183"/>
      <c r="I211" s="239"/>
      <c r="J211" s="239"/>
      <c r="K211" s="239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</row>
    <row r="212" spans="5:22" x14ac:dyDescent="0.25">
      <c r="E212" s="183"/>
      <c r="F212" s="183"/>
      <c r="G212" s="183"/>
      <c r="H212" s="183"/>
      <c r="I212" s="239"/>
      <c r="J212" s="239"/>
      <c r="K212" s="239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</row>
    <row r="213" spans="5:22" x14ac:dyDescent="0.25">
      <c r="E213" s="183"/>
      <c r="F213" s="183"/>
      <c r="G213" s="183"/>
      <c r="H213" s="183"/>
      <c r="I213" s="239"/>
      <c r="J213" s="239"/>
      <c r="K213" s="239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</row>
    <row r="214" spans="5:22" x14ac:dyDescent="0.25">
      <c r="E214" s="183"/>
      <c r="F214" s="183"/>
      <c r="G214" s="183"/>
      <c r="H214" s="183"/>
      <c r="I214" s="239"/>
      <c r="J214" s="239"/>
      <c r="K214" s="239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</row>
    <row r="215" spans="5:22" x14ac:dyDescent="0.25">
      <c r="E215" s="183"/>
      <c r="F215" s="183"/>
      <c r="G215" s="183"/>
      <c r="H215" s="183"/>
      <c r="I215" s="239"/>
      <c r="J215" s="239"/>
      <c r="K215" s="239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</row>
    <row r="216" spans="5:22" x14ac:dyDescent="0.25">
      <c r="E216" s="183"/>
      <c r="F216" s="183"/>
      <c r="G216" s="183"/>
      <c r="H216" s="183"/>
      <c r="I216" s="239"/>
      <c r="J216" s="239"/>
      <c r="K216" s="239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</row>
    <row r="217" spans="5:22" x14ac:dyDescent="0.25">
      <c r="E217" s="183"/>
      <c r="F217" s="183"/>
      <c r="G217" s="183"/>
      <c r="H217" s="183"/>
      <c r="I217" s="239"/>
      <c r="J217" s="239"/>
      <c r="K217" s="239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</row>
    <row r="218" spans="5:22" x14ac:dyDescent="0.25">
      <c r="E218" s="183"/>
      <c r="F218" s="183"/>
      <c r="G218" s="183"/>
      <c r="H218" s="183"/>
      <c r="I218" s="239"/>
      <c r="J218" s="239"/>
      <c r="K218" s="239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</row>
    <row r="219" spans="5:22" x14ac:dyDescent="0.25">
      <c r="E219" s="183"/>
      <c r="F219" s="183"/>
      <c r="G219" s="183"/>
      <c r="H219" s="183"/>
      <c r="I219" s="239"/>
      <c r="J219" s="239"/>
      <c r="K219" s="239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</row>
    <row r="220" spans="5:22" x14ac:dyDescent="0.25">
      <c r="E220" s="183"/>
      <c r="F220" s="183"/>
      <c r="G220" s="183"/>
      <c r="H220" s="183"/>
      <c r="I220" s="239"/>
      <c r="J220" s="239"/>
      <c r="K220" s="239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</row>
    <row r="221" spans="5:22" x14ac:dyDescent="0.25">
      <c r="E221" s="183"/>
      <c r="F221" s="183"/>
      <c r="G221" s="183"/>
      <c r="H221" s="183"/>
      <c r="I221" s="239"/>
      <c r="J221" s="239"/>
      <c r="K221" s="239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</row>
    <row r="222" spans="5:22" x14ac:dyDescent="0.25">
      <c r="E222" s="183"/>
      <c r="F222" s="183"/>
      <c r="G222" s="183"/>
      <c r="H222" s="183"/>
      <c r="I222" s="239"/>
      <c r="J222" s="239"/>
      <c r="K222" s="239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</row>
    <row r="223" spans="5:22" x14ac:dyDescent="0.25">
      <c r="E223" s="183"/>
      <c r="F223" s="183"/>
      <c r="G223" s="183"/>
      <c r="H223" s="183"/>
      <c r="I223" s="239"/>
      <c r="J223" s="239"/>
      <c r="K223" s="239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</row>
    <row r="224" spans="5:22" x14ac:dyDescent="0.25">
      <c r="E224" s="183"/>
      <c r="F224" s="183"/>
      <c r="G224" s="183"/>
      <c r="H224" s="183"/>
      <c r="I224" s="239"/>
      <c r="J224" s="239"/>
      <c r="K224" s="239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</row>
    <row r="225" spans="5:22" x14ac:dyDescent="0.25">
      <c r="E225" s="183"/>
      <c r="F225" s="183"/>
      <c r="G225" s="183"/>
      <c r="H225" s="183"/>
      <c r="I225" s="239"/>
      <c r="J225" s="239"/>
      <c r="K225" s="239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</row>
    <row r="226" spans="5:22" x14ac:dyDescent="0.25">
      <c r="E226" s="183"/>
      <c r="F226" s="183"/>
      <c r="G226" s="183"/>
      <c r="H226" s="183"/>
      <c r="I226" s="239"/>
      <c r="J226" s="239"/>
      <c r="K226" s="239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</row>
    <row r="227" spans="5:22" x14ac:dyDescent="0.25">
      <c r="E227" s="183"/>
      <c r="F227" s="183"/>
      <c r="G227" s="183"/>
      <c r="H227" s="183"/>
      <c r="I227" s="239"/>
      <c r="J227" s="239"/>
      <c r="K227" s="239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</row>
    <row r="228" spans="5:22" x14ac:dyDescent="0.25">
      <c r="E228" s="183"/>
      <c r="F228" s="183"/>
      <c r="G228" s="183"/>
      <c r="H228" s="183"/>
      <c r="I228" s="239"/>
      <c r="J228" s="239"/>
      <c r="K228" s="239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</row>
    <row r="229" spans="5:22" x14ac:dyDescent="0.25">
      <c r="E229" s="183"/>
      <c r="F229" s="183"/>
      <c r="G229" s="183"/>
      <c r="H229" s="183"/>
      <c r="I229" s="239"/>
      <c r="J229" s="239"/>
      <c r="K229" s="239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</row>
    <row r="230" spans="5:22" x14ac:dyDescent="0.25">
      <c r="E230" s="183"/>
      <c r="F230" s="183"/>
      <c r="G230" s="183"/>
      <c r="H230" s="183"/>
      <c r="I230" s="239"/>
      <c r="J230" s="239"/>
      <c r="K230" s="239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</row>
    <row r="231" spans="5:22" x14ac:dyDescent="0.25">
      <c r="E231" s="183"/>
      <c r="F231" s="183"/>
      <c r="G231" s="183"/>
      <c r="H231" s="183"/>
      <c r="I231" s="239"/>
      <c r="J231" s="239"/>
      <c r="K231" s="239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</row>
    <row r="232" spans="5:22" x14ac:dyDescent="0.25">
      <c r="E232" s="183"/>
      <c r="F232" s="183"/>
      <c r="G232" s="183"/>
      <c r="H232" s="183"/>
      <c r="I232" s="239"/>
      <c r="J232" s="239"/>
      <c r="K232" s="239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</row>
    <row r="233" spans="5:22" x14ac:dyDescent="0.25">
      <c r="E233" s="183"/>
      <c r="F233" s="183"/>
      <c r="G233" s="183"/>
      <c r="H233" s="183"/>
      <c r="I233" s="239"/>
      <c r="J233" s="239"/>
      <c r="K233" s="239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</row>
    <row r="234" spans="5:22" x14ac:dyDescent="0.25">
      <c r="E234" s="183"/>
      <c r="F234" s="183"/>
      <c r="G234" s="183"/>
      <c r="H234" s="183"/>
      <c r="I234" s="239"/>
      <c r="J234" s="239"/>
      <c r="K234" s="239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</row>
    <row r="235" spans="5:22" x14ac:dyDescent="0.25">
      <c r="E235" s="183"/>
      <c r="F235" s="183"/>
      <c r="G235" s="183"/>
      <c r="H235" s="183"/>
      <c r="I235" s="239"/>
      <c r="J235" s="239"/>
      <c r="K235" s="239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</row>
    <row r="236" spans="5:22" x14ac:dyDescent="0.25">
      <c r="E236" s="183"/>
      <c r="F236" s="183"/>
      <c r="G236" s="183"/>
      <c r="H236" s="183"/>
      <c r="I236" s="239"/>
      <c r="J236" s="239"/>
      <c r="K236" s="239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</row>
    <row r="237" spans="5:22" x14ac:dyDescent="0.25">
      <c r="E237" s="183"/>
      <c r="F237" s="183"/>
      <c r="G237" s="183"/>
      <c r="H237" s="183"/>
      <c r="I237" s="239"/>
      <c r="J237" s="239"/>
      <c r="K237" s="239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</row>
    <row r="238" spans="5:22" x14ac:dyDescent="0.25">
      <c r="E238" s="183"/>
      <c r="F238" s="183"/>
      <c r="G238" s="183"/>
      <c r="H238" s="183"/>
      <c r="I238" s="239"/>
      <c r="J238" s="239"/>
      <c r="K238" s="239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</row>
    <row r="239" spans="5:22" x14ac:dyDescent="0.25">
      <c r="E239" s="183"/>
      <c r="F239" s="183"/>
      <c r="G239" s="183"/>
      <c r="H239" s="183"/>
      <c r="I239" s="239"/>
      <c r="J239" s="239"/>
      <c r="K239" s="239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</row>
    <row r="240" spans="5:22" x14ac:dyDescent="0.25">
      <c r="E240" s="183"/>
      <c r="F240" s="183"/>
      <c r="G240" s="183"/>
      <c r="H240" s="183"/>
      <c r="I240" s="239"/>
      <c r="J240" s="239"/>
      <c r="K240" s="239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</row>
    <row r="241" spans="5:22" x14ac:dyDescent="0.25">
      <c r="E241" s="183"/>
      <c r="F241" s="183"/>
      <c r="G241" s="183"/>
      <c r="H241" s="183"/>
      <c r="I241" s="239"/>
      <c r="J241" s="239"/>
      <c r="K241" s="239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</row>
    <row r="242" spans="5:22" x14ac:dyDescent="0.25">
      <c r="E242" s="183"/>
      <c r="F242" s="183"/>
      <c r="G242" s="183"/>
      <c r="H242" s="183"/>
      <c r="I242" s="239"/>
      <c r="J242" s="239"/>
      <c r="K242" s="239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</row>
    <row r="243" spans="5:22" x14ac:dyDescent="0.25">
      <c r="E243" s="183"/>
      <c r="F243" s="183"/>
      <c r="G243" s="183"/>
      <c r="H243" s="183"/>
      <c r="I243" s="239"/>
      <c r="J243" s="239"/>
      <c r="K243" s="239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</row>
    <row r="244" spans="5:22" x14ac:dyDescent="0.25">
      <c r="E244" s="183"/>
      <c r="F244" s="183"/>
      <c r="G244" s="183"/>
      <c r="H244" s="183"/>
      <c r="I244" s="239"/>
      <c r="J244" s="239"/>
      <c r="K244" s="239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</row>
    <row r="245" spans="5:22" x14ac:dyDescent="0.25">
      <c r="E245" s="183"/>
      <c r="F245" s="183"/>
      <c r="G245" s="183"/>
      <c r="H245" s="183"/>
      <c r="I245" s="239"/>
      <c r="J245" s="239"/>
      <c r="K245" s="239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</row>
    <row r="246" spans="5:22" x14ac:dyDescent="0.25">
      <c r="E246" s="183"/>
      <c r="F246" s="183"/>
      <c r="G246" s="183"/>
      <c r="H246" s="183"/>
      <c r="I246" s="239"/>
      <c r="J246" s="239"/>
      <c r="K246" s="239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</row>
    <row r="247" spans="5:22" x14ac:dyDescent="0.25">
      <c r="E247" s="183"/>
      <c r="F247" s="183"/>
      <c r="G247" s="183"/>
      <c r="H247" s="183"/>
      <c r="I247" s="239"/>
      <c r="J247" s="239"/>
      <c r="K247" s="239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</row>
    <row r="248" spans="5:22" x14ac:dyDescent="0.25">
      <c r="E248" s="183"/>
      <c r="F248" s="183"/>
      <c r="G248" s="183"/>
      <c r="H248" s="183"/>
      <c r="I248" s="239"/>
      <c r="J248" s="239"/>
      <c r="K248" s="239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</row>
    <row r="249" spans="5:22" x14ac:dyDescent="0.25">
      <c r="E249" s="183"/>
      <c r="F249" s="183"/>
      <c r="G249" s="183"/>
      <c r="H249" s="183"/>
      <c r="I249" s="239"/>
      <c r="J249" s="239"/>
      <c r="K249" s="239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</row>
    <row r="250" spans="5:22" x14ac:dyDescent="0.25">
      <c r="E250" s="183"/>
      <c r="F250" s="183"/>
      <c r="G250" s="183"/>
      <c r="H250" s="183"/>
      <c r="I250" s="239"/>
      <c r="J250" s="239"/>
      <c r="K250" s="239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</row>
    <row r="251" spans="5:22" x14ac:dyDescent="0.25">
      <c r="E251" s="183"/>
      <c r="F251" s="183"/>
      <c r="G251" s="183"/>
      <c r="H251" s="183"/>
      <c r="I251" s="239"/>
      <c r="J251" s="239"/>
      <c r="K251" s="239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</row>
    <row r="252" spans="5:22" x14ac:dyDescent="0.25">
      <c r="E252" s="183"/>
      <c r="F252" s="183"/>
      <c r="G252" s="183"/>
      <c r="H252" s="183"/>
      <c r="I252" s="239"/>
      <c r="J252" s="239"/>
      <c r="K252" s="239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</row>
    <row r="253" spans="5:22" x14ac:dyDescent="0.25">
      <c r="E253" s="183"/>
      <c r="F253" s="183"/>
      <c r="G253" s="183"/>
      <c r="H253" s="183"/>
      <c r="I253" s="239"/>
      <c r="J253" s="239"/>
      <c r="K253" s="239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</row>
    <row r="254" spans="5:22" x14ac:dyDescent="0.25">
      <c r="E254" s="183"/>
      <c r="F254" s="183"/>
      <c r="G254" s="183"/>
      <c r="H254" s="183"/>
      <c r="I254" s="239"/>
      <c r="J254" s="239"/>
      <c r="K254" s="239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</row>
    <row r="255" spans="5:22" x14ac:dyDescent="0.25">
      <c r="E255" s="183"/>
      <c r="F255" s="183"/>
      <c r="G255" s="183"/>
      <c r="H255" s="183"/>
      <c r="I255" s="239"/>
      <c r="J255" s="239"/>
      <c r="K255" s="239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</row>
    <row r="256" spans="5:22" x14ac:dyDescent="0.25">
      <c r="E256" s="183"/>
      <c r="F256" s="183"/>
      <c r="G256" s="183"/>
      <c r="H256" s="183"/>
      <c r="I256" s="239"/>
      <c r="J256" s="239"/>
      <c r="K256" s="239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</row>
    <row r="257" spans="5:22" x14ac:dyDescent="0.25">
      <c r="E257" s="183"/>
      <c r="F257" s="183"/>
      <c r="G257" s="183"/>
      <c r="H257" s="183"/>
      <c r="I257" s="239"/>
      <c r="J257" s="239"/>
      <c r="K257" s="239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</row>
    <row r="258" spans="5:22" x14ac:dyDescent="0.25">
      <c r="E258" s="183"/>
      <c r="F258" s="183"/>
      <c r="G258" s="183"/>
      <c r="H258" s="183"/>
      <c r="I258" s="239"/>
      <c r="J258" s="239"/>
      <c r="K258" s="239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</row>
    <row r="259" spans="5:22" x14ac:dyDescent="0.25">
      <c r="E259" s="183"/>
      <c r="F259" s="183"/>
      <c r="G259" s="183"/>
      <c r="H259" s="183"/>
      <c r="I259" s="239"/>
      <c r="J259" s="239"/>
      <c r="K259" s="239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</row>
    <row r="260" spans="5:22" x14ac:dyDescent="0.25">
      <c r="E260" s="183"/>
      <c r="F260" s="183"/>
      <c r="G260" s="183"/>
      <c r="H260" s="183"/>
      <c r="I260" s="239"/>
      <c r="J260" s="239"/>
      <c r="K260" s="239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</row>
    <row r="261" spans="5:22" x14ac:dyDescent="0.25">
      <c r="E261" s="183"/>
      <c r="F261" s="183"/>
      <c r="G261" s="183"/>
      <c r="H261" s="183"/>
      <c r="I261" s="239"/>
      <c r="J261" s="239"/>
      <c r="K261" s="239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</row>
    <row r="262" spans="5:22" x14ac:dyDescent="0.25">
      <c r="E262" s="183"/>
      <c r="F262" s="183"/>
      <c r="G262" s="183"/>
      <c r="H262" s="183"/>
      <c r="I262" s="239"/>
      <c r="J262" s="239"/>
      <c r="K262" s="239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</row>
    <row r="263" spans="5:22" x14ac:dyDescent="0.25">
      <c r="E263" s="183"/>
      <c r="F263" s="183"/>
      <c r="G263" s="183"/>
      <c r="H263" s="183"/>
      <c r="I263" s="239"/>
      <c r="J263" s="239"/>
      <c r="K263" s="239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</row>
    <row r="264" spans="5:22" x14ac:dyDescent="0.25">
      <c r="E264" s="183"/>
      <c r="F264" s="183"/>
      <c r="G264" s="183"/>
      <c r="H264" s="183"/>
      <c r="I264" s="239"/>
      <c r="J264" s="239"/>
      <c r="K264" s="239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</row>
    <row r="265" spans="5:22" x14ac:dyDescent="0.25">
      <c r="E265" s="183"/>
      <c r="F265" s="183"/>
      <c r="G265" s="183"/>
      <c r="H265" s="183"/>
      <c r="I265" s="239"/>
      <c r="J265" s="239"/>
      <c r="K265" s="239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</row>
    <row r="266" spans="5:22" x14ac:dyDescent="0.25">
      <c r="E266" s="183"/>
      <c r="F266" s="183"/>
      <c r="G266" s="183"/>
      <c r="H266" s="183"/>
      <c r="I266" s="239"/>
      <c r="J266" s="239"/>
      <c r="K266" s="239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</row>
    <row r="267" spans="5:22" x14ac:dyDescent="0.25">
      <c r="E267" s="183"/>
      <c r="F267" s="183"/>
      <c r="G267" s="183"/>
      <c r="H267" s="183"/>
      <c r="I267" s="239"/>
      <c r="J267" s="239"/>
      <c r="K267" s="239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</row>
    <row r="268" spans="5:22" x14ac:dyDescent="0.25">
      <c r="E268" s="183"/>
      <c r="F268" s="183"/>
      <c r="G268" s="183"/>
      <c r="H268" s="183"/>
      <c r="I268" s="239"/>
      <c r="J268" s="239"/>
      <c r="K268" s="239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</row>
    <row r="269" spans="5:22" x14ac:dyDescent="0.25">
      <c r="E269" s="183"/>
      <c r="F269" s="183"/>
      <c r="G269" s="183"/>
      <c r="H269" s="183"/>
      <c r="I269" s="239"/>
      <c r="J269" s="239"/>
      <c r="K269" s="239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</row>
    <row r="270" spans="5:22" x14ac:dyDescent="0.25">
      <c r="E270" s="183"/>
      <c r="F270" s="183"/>
      <c r="G270" s="183"/>
      <c r="H270" s="183"/>
      <c r="I270" s="239"/>
      <c r="J270" s="239"/>
      <c r="K270" s="239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</row>
    <row r="271" spans="5:22" x14ac:dyDescent="0.25">
      <c r="E271" s="183"/>
      <c r="F271" s="183"/>
      <c r="G271" s="183"/>
      <c r="H271" s="183"/>
      <c r="I271" s="239"/>
      <c r="J271" s="239"/>
      <c r="K271" s="239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</row>
    <row r="272" spans="5:22" x14ac:dyDescent="0.25">
      <c r="E272" s="183"/>
      <c r="F272" s="183"/>
      <c r="G272" s="183"/>
      <c r="H272" s="183"/>
      <c r="I272" s="239"/>
      <c r="J272" s="239"/>
      <c r="K272" s="239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</row>
    <row r="273" spans="5:22" x14ac:dyDescent="0.25">
      <c r="E273" s="183"/>
      <c r="F273" s="183"/>
      <c r="G273" s="183"/>
      <c r="H273" s="183"/>
      <c r="I273" s="239"/>
      <c r="J273" s="239"/>
      <c r="K273" s="239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</row>
    <row r="274" spans="5:22" x14ac:dyDescent="0.25">
      <c r="E274" s="183"/>
      <c r="F274" s="183"/>
      <c r="G274" s="183"/>
      <c r="H274" s="183"/>
      <c r="I274" s="239"/>
      <c r="J274" s="239"/>
      <c r="K274" s="239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</row>
    <row r="275" spans="5:22" x14ac:dyDescent="0.25">
      <c r="E275" s="183"/>
      <c r="F275" s="183"/>
      <c r="G275" s="183"/>
      <c r="H275" s="183"/>
      <c r="I275" s="239"/>
      <c r="J275" s="239"/>
      <c r="K275" s="239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</row>
    <row r="276" spans="5:22" x14ac:dyDescent="0.25">
      <c r="E276" s="183"/>
      <c r="F276" s="183"/>
      <c r="G276" s="183"/>
      <c r="H276" s="183"/>
      <c r="I276" s="239"/>
      <c r="J276" s="239"/>
      <c r="K276" s="239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</row>
    <row r="277" spans="5:22" x14ac:dyDescent="0.25">
      <c r="E277" s="183"/>
      <c r="F277" s="183"/>
      <c r="G277" s="183"/>
      <c r="H277" s="183"/>
      <c r="I277" s="239"/>
      <c r="J277" s="239"/>
      <c r="K277" s="239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</row>
    <row r="278" spans="5:22" x14ac:dyDescent="0.25">
      <c r="E278" s="183"/>
      <c r="F278" s="183"/>
      <c r="G278" s="183"/>
      <c r="H278" s="183"/>
      <c r="I278" s="239"/>
      <c r="J278" s="239"/>
      <c r="K278" s="239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</row>
    <row r="279" spans="5:22" x14ac:dyDescent="0.25">
      <c r="E279" s="183"/>
      <c r="F279" s="183"/>
      <c r="G279" s="183"/>
      <c r="H279" s="183"/>
      <c r="I279" s="239"/>
      <c r="J279" s="239"/>
      <c r="K279" s="239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</row>
    <row r="280" spans="5:22" x14ac:dyDescent="0.25">
      <c r="E280" s="183"/>
      <c r="F280" s="183"/>
      <c r="G280" s="183"/>
      <c r="H280" s="183"/>
      <c r="I280" s="239"/>
      <c r="J280" s="239"/>
      <c r="K280" s="239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</row>
    <row r="281" spans="5:22" x14ac:dyDescent="0.25">
      <c r="E281" s="183"/>
      <c r="F281" s="183"/>
      <c r="G281" s="183"/>
      <c r="H281" s="183"/>
      <c r="I281" s="239"/>
      <c r="J281" s="239"/>
      <c r="K281" s="239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</row>
    <row r="282" spans="5:22" x14ac:dyDescent="0.25">
      <c r="E282" s="183"/>
      <c r="F282" s="183"/>
      <c r="G282" s="183"/>
      <c r="H282" s="183"/>
      <c r="I282" s="239"/>
      <c r="J282" s="239"/>
      <c r="K282" s="239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</row>
    <row r="283" spans="5:22" x14ac:dyDescent="0.25">
      <c r="E283" s="183"/>
      <c r="F283" s="183"/>
      <c r="G283" s="183"/>
      <c r="H283" s="183"/>
      <c r="I283" s="239"/>
      <c r="J283" s="239"/>
      <c r="K283" s="239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</row>
    <row r="284" spans="5:22" x14ac:dyDescent="0.25">
      <c r="E284" s="183"/>
      <c r="F284" s="183"/>
      <c r="G284" s="183"/>
      <c r="H284" s="183"/>
      <c r="I284" s="239"/>
      <c r="J284" s="239"/>
      <c r="K284" s="239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</row>
    <row r="285" spans="5:22" x14ac:dyDescent="0.25">
      <c r="E285" s="183"/>
      <c r="F285" s="183"/>
      <c r="G285" s="183"/>
      <c r="H285" s="183"/>
      <c r="I285" s="239"/>
      <c r="J285" s="239"/>
      <c r="K285" s="239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</row>
    <row r="286" spans="5:22" x14ac:dyDescent="0.25">
      <c r="E286" s="183"/>
      <c r="F286" s="183"/>
      <c r="G286" s="183"/>
      <c r="H286" s="183"/>
      <c r="I286" s="239"/>
      <c r="J286" s="239"/>
      <c r="K286" s="239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</row>
    <row r="287" spans="5:22" x14ac:dyDescent="0.25">
      <c r="E287" s="183"/>
      <c r="F287" s="183"/>
      <c r="G287" s="183"/>
      <c r="H287" s="183"/>
      <c r="I287" s="239"/>
      <c r="J287" s="239"/>
      <c r="K287" s="239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</row>
    <row r="288" spans="5:22" x14ac:dyDescent="0.25">
      <c r="E288" s="183"/>
      <c r="F288" s="183"/>
      <c r="G288" s="183"/>
      <c r="H288" s="183"/>
      <c r="I288" s="239"/>
      <c r="J288" s="239"/>
      <c r="K288" s="239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</row>
    <row r="289" spans="5:22" x14ac:dyDescent="0.25">
      <c r="E289" s="183"/>
      <c r="F289" s="183"/>
      <c r="G289" s="183"/>
      <c r="H289" s="183"/>
      <c r="I289" s="239"/>
      <c r="J289" s="239"/>
      <c r="K289" s="239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</row>
    <row r="290" spans="5:22" x14ac:dyDescent="0.25">
      <c r="E290" s="183"/>
      <c r="F290" s="183"/>
      <c r="G290" s="183"/>
      <c r="H290" s="183"/>
      <c r="I290" s="239"/>
      <c r="J290" s="239"/>
      <c r="K290" s="239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</row>
    <row r="291" spans="5:22" x14ac:dyDescent="0.25">
      <c r="E291" s="183"/>
      <c r="F291" s="183"/>
      <c r="G291" s="183"/>
      <c r="H291" s="183"/>
      <c r="I291" s="239"/>
      <c r="J291" s="239"/>
      <c r="K291" s="239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</row>
    <row r="292" spans="5:22" x14ac:dyDescent="0.25">
      <c r="E292" s="183"/>
      <c r="F292" s="183"/>
      <c r="G292" s="183"/>
      <c r="H292" s="183"/>
      <c r="I292" s="239"/>
      <c r="J292" s="239"/>
      <c r="K292" s="239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</row>
    <row r="293" spans="5:22" x14ac:dyDescent="0.25">
      <c r="E293" s="183"/>
      <c r="F293" s="183"/>
      <c r="G293" s="183"/>
      <c r="H293" s="183"/>
      <c r="I293" s="239"/>
      <c r="J293" s="239"/>
      <c r="K293" s="239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</row>
    <row r="294" spans="5:22" x14ac:dyDescent="0.25">
      <c r="E294" s="183"/>
      <c r="F294" s="183"/>
      <c r="G294" s="183"/>
      <c r="H294" s="183"/>
      <c r="I294" s="239"/>
      <c r="J294" s="239"/>
      <c r="K294" s="239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</row>
    <row r="295" spans="5:22" x14ac:dyDescent="0.25">
      <c r="E295" s="183"/>
      <c r="F295" s="183"/>
      <c r="G295" s="183"/>
      <c r="H295" s="183"/>
      <c r="I295" s="239"/>
      <c r="J295" s="239"/>
      <c r="K295" s="239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</row>
    <row r="296" spans="5:22" x14ac:dyDescent="0.25">
      <c r="E296" s="183"/>
      <c r="F296" s="183"/>
      <c r="G296" s="183"/>
      <c r="H296" s="183"/>
      <c r="I296" s="239"/>
      <c r="J296" s="239"/>
      <c r="K296" s="239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</row>
    <row r="297" spans="5:22" x14ac:dyDescent="0.25">
      <c r="E297" s="183"/>
      <c r="F297" s="183"/>
      <c r="G297" s="183"/>
      <c r="H297" s="183"/>
      <c r="I297" s="239"/>
      <c r="J297" s="239"/>
      <c r="K297" s="239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</row>
    <row r="298" spans="5:22" x14ac:dyDescent="0.25">
      <c r="E298" s="183"/>
      <c r="F298" s="183"/>
      <c r="G298" s="183"/>
      <c r="H298" s="183"/>
      <c r="I298" s="239"/>
      <c r="J298" s="239"/>
      <c r="K298" s="239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</row>
    <row r="299" spans="5:22" x14ac:dyDescent="0.25">
      <c r="E299" s="183"/>
      <c r="F299" s="183"/>
      <c r="G299" s="183"/>
      <c r="H299" s="183"/>
      <c r="I299" s="239"/>
      <c r="J299" s="239"/>
      <c r="K299" s="239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</row>
    <row r="300" spans="5:22" x14ac:dyDescent="0.25">
      <c r="E300" s="183"/>
      <c r="F300" s="183"/>
      <c r="G300" s="183"/>
      <c r="H300" s="183"/>
      <c r="I300" s="239"/>
      <c r="J300" s="239"/>
      <c r="K300" s="239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</row>
    <row r="301" spans="5:22" x14ac:dyDescent="0.25">
      <c r="E301" s="183"/>
      <c r="F301" s="183"/>
      <c r="G301" s="183"/>
      <c r="H301" s="183"/>
      <c r="I301" s="239"/>
      <c r="J301" s="239"/>
      <c r="K301" s="239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</row>
    <row r="302" spans="5:22" x14ac:dyDescent="0.25">
      <c r="E302" s="183"/>
      <c r="F302" s="183"/>
      <c r="G302" s="183"/>
      <c r="H302" s="183"/>
      <c r="I302" s="239"/>
      <c r="J302" s="239"/>
      <c r="K302" s="239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</row>
    <row r="303" spans="5:22" x14ac:dyDescent="0.25">
      <c r="E303" s="183"/>
      <c r="F303" s="183"/>
      <c r="G303" s="183"/>
      <c r="H303" s="183"/>
      <c r="I303" s="239"/>
      <c r="J303" s="239"/>
      <c r="K303" s="239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</row>
    <row r="304" spans="5:22" x14ac:dyDescent="0.25">
      <c r="E304" s="183"/>
      <c r="F304" s="183"/>
      <c r="G304" s="183"/>
      <c r="H304" s="183"/>
      <c r="I304" s="239"/>
      <c r="J304" s="239"/>
      <c r="K304" s="239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</row>
    <row r="305" spans="5:22" x14ac:dyDescent="0.25">
      <c r="E305" s="183"/>
      <c r="F305" s="183"/>
      <c r="G305" s="183"/>
      <c r="H305" s="183"/>
      <c r="I305" s="239"/>
      <c r="J305" s="239"/>
      <c r="K305" s="239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</row>
    <row r="306" spans="5:22" x14ac:dyDescent="0.25">
      <c r="E306" s="183"/>
      <c r="F306" s="183"/>
      <c r="G306" s="183"/>
      <c r="H306" s="183"/>
      <c r="I306" s="239"/>
      <c r="J306" s="239"/>
      <c r="K306" s="239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</row>
    <row r="307" spans="5:22" x14ac:dyDescent="0.25">
      <c r="E307" s="183"/>
      <c r="F307" s="183"/>
      <c r="G307" s="183"/>
      <c r="H307" s="183"/>
      <c r="I307" s="239"/>
      <c r="J307" s="239"/>
      <c r="K307" s="239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</row>
    <row r="308" spans="5:22" x14ac:dyDescent="0.25">
      <c r="E308" s="183"/>
      <c r="F308" s="183"/>
      <c r="G308" s="183"/>
      <c r="H308" s="183"/>
      <c r="I308" s="239"/>
      <c r="J308" s="239"/>
      <c r="K308" s="239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</row>
    <row r="309" spans="5:22" x14ac:dyDescent="0.25">
      <c r="E309" s="183"/>
      <c r="F309" s="183"/>
      <c r="G309" s="183"/>
      <c r="H309" s="183"/>
      <c r="I309" s="239"/>
      <c r="J309" s="239"/>
      <c r="K309" s="239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</row>
    <row r="310" spans="5:22" x14ac:dyDescent="0.25">
      <c r="E310" s="183"/>
      <c r="F310" s="183"/>
      <c r="G310" s="183"/>
      <c r="H310" s="183"/>
      <c r="I310" s="239"/>
      <c r="J310" s="239"/>
      <c r="K310" s="239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</row>
    <row r="311" spans="5:22" x14ac:dyDescent="0.25">
      <c r="E311" s="183"/>
      <c r="F311" s="183"/>
      <c r="G311" s="183"/>
      <c r="H311" s="183"/>
      <c r="I311" s="239"/>
      <c r="J311" s="239"/>
      <c r="K311" s="239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</row>
    <row r="312" spans="5:22" x14ac:dyDescent="0.25">
      <c r="E312" s="183"/>
      <c r="F312" s="183"/>
      <c r="G312" s="183"/>
      <c r="H312" s="183"/>
      <c r="I312" s="239"/>
      <c r="J312" s="239"/>
      <c r="K312" s="239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</row>
    <row r="313" spans="5:22" x14ac:dyDescent="0.25">
      <c r="E313" s="183"/>
      <c r="F313" s="183"/>
      <c r="G313" s="183"/>
      <c r="H313" s="183"/>
      <c r="I313" s="239"/>
      <c r="J313" s="239"/>
      <c r="K313" s="239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</row>
    <row r="314" spans="5:22" x14ac:dyDescent="0.25">
      <c r="E314" s="183"/>
      <c r="F314" s="183"/>
      <c r="G314" s="183"/>
      <c r="H314" s="183"/>
      <c r="I314" s="239"/>
      <c r="J314" s="239"/>
      <c r="K314" s="239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</row>
    <row r="315" spans="5:22" x14ac:dyDescent="0.25">
      <c r="E315" s="183"/>
      <c r="F315" s="183"/>
      <c r="G315" s="183"/>
      <c r="H315" s="183"/>
      <c r="I315" s="239"/>
      <c r="J315" s="239"/>
      <c r="K315" s="239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</row>
    <row r="316" spans="5:22" x14ac:dyDescent="0.25">
      <c r="E316" s="183"/>
      <c r="F316" s="183"/>
      <c r="G316" s="183"/>
      <c r="H316" s="183"/>
      <c r="I316" s="239"/>
      <c r="J316" s="239"/>
      <c r="K316" s="239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</row>
    <row r="317" spans="5:22" x14ac:dyDescent="0.25">
      <c r="E317" s="183"/>
      <c r="F317" s="183"/>
      <c r="G317" s="183"/>
      <c r="H317" s="183"/>
      <c r="I317" s="239"/>
      <c r="J317" s="239"/>
      <c r="K317" s="239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</row>
    <row r="318" spans="5:22" x14ac:dyDescent="0.25">
      <c r="E318" s="183"/>
      <c r="F318" s="183"/>
      <c r="G318" s="183"/>
      <c r="H318" s="183"/>
      <c r="I318" s="239"/>
      <c r="J318" s="239"/>
      <c r="K318" s="239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</row>
    <row r="319" spans="5:22" x14ac:dyDescent="0.25">
      <c r="E319" s="183"/>
      <c r="F319" s="183"/>
      <c r="G319" s="183"/>
      <c r="H319" s="183"/>
      <c r="I319" s="239"/>
      <c r="J319" s="239"/>
      <c r="K319" s="239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</row>
    <row r="320" spans="5:22" x14ac:dyDescent="0.25">
      <c r="E320" s="183"/>
      <c r="F320" s="183"/>
      <c r="G320" s="183"/>
      <c r="H320" s="183"/>
      <c r="I320" s="239"/>
      <c r="J320" s="239"/>
      <c r="K320" s="239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</row>
    <row r="321" spans="5:22" x14ac:dyDescent="0.25">
      <c r="E321" s="183"/>
      <c r="F321" s="183"/>
      <c r="G321" s="183"/>
      <c r="H321" s="183"/>
      <c r="I321" s="239"/>
      <c r="J321" s="239"/>
      <c r="K321" s="239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</row>
    <row r="322" spans="5:22" x14ac:dyDescent="0.25">
      <c r="E322" s="183"/>
      <c r="F322" s="183"/>
      <c r="G322" s="183"/>
      <c r="H322" s="183"/>
      <c r="I322" s="239"/>
      <c r="J322" s="239"/>
      <c r="K322" s="239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</row>
    <row r="323" spans="5:22" x14ac:dyDescent="0.25">
      <c r="E323" s="183"/>
      <c r="F323" s="183"/>
      <c r="G323" s="183"/>
      <c r="H323" s="183"/>
      <c r="I323" s="239"/>
      <c r="J323" s="239"/>
      <c r="K323" s="239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</row>
    <row r="324" spans="5:22" x14ac:dyDescent="0.25">
      <c r="E324" s="183"/>
      <c r="F324" s="183"/>
      <c r="G324" s="183"/>
      <c r="H324" s="183"/>
      <c r="I324" s="239"/>
      <c r="J324" s="239"/>
      <c r="K324" s="239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</row>
    <row r="325" spans="5:22" x14ac:dyDescent="0.25">
      <c r="E325" s="183"/>
      <c r="F325" s="183"/>
      <c r="G325" s="183"/>
      <c r="H325" s="183"/>
      <c r="I325" s="239"/>
      <c r="J325" s="239"/>
      <c r="K325" s="239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</row>
    <row r="326" spans="5:22" x14ac:dyDescent="0.25">
      <c r="E326" s="183"/>
      <c r="F326" s="183"/>
      <c r="G326" s="183"/>
      <c r="H326" s="183"/>
      <c r="I326" s="239"/>
      <c r="J326" s="239"/>
      <c r="K326" s="239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</row>
    <row r="327" spans="5:22" x14ac:dyDescent="0.25">
      <c r="E327" s="183"/>
      <c r="F327" s="183"/>
      <c r="G327" s="183"/>
      <c r="H327" s="183"/>
      <c r="I327" s="239"/>
      <c r="J327" s="239"/>
      <c r="K327" s="239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</row>
    <row r="328" spans="5:22" x14ac:dyDescent="0.25">
      <c r="E328" s="183"/>
      <c r="F328" s="183"/>
      <c r="G328" s="183"/>
      <c r="H328" s="183"/>
      <c r="I328" s="239"/>
      <c r="J328" s="239"/>
      <c r="K328" s="239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</row>
    <row r="329" spans="5:22" x14ac:dyDescent="0.25">
      <c r="E329" s="183"/>
      <c r="F329" s="183"/>
      <c r="G329" s="183"/>
      <c r="H329" s="183"/>
      <c r="I329" s="239"/>
      <c r="J329" s="239"/>
      <c r="K329" s="239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</row>
    <row r="330" spans="5:22" x14ac:dyDescent="0.25">
      <c r="E330" s="183"/>
      <c r="F330" s="183"/>
      <c r="G330" s="183"/>
      <c r="H330" s="183"/>
      <c r="I330" s="239"/>
      <c r="J330" s="239"/>
      <c r="K330" s="239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</row>
    <row r="331" spans="5:22" x14ac:dyDescent="0.25">
      <c r="E331" s="183"/>
      <c r="F331" s="183"/>
      <c r="G331" s="183"/>
      <c r="H331" s="183"/>
      <c r="I331" s="239"/>
      <c r="J331" s="239"/>
      <c r="K331" s="239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</row>
    <row r="332" spans="5:22" x14ac:dyDescent="0.25">
      <c r="E332" s="183"/>
      <c r="F332" s="183"/>
      <c r="G332" s="183"/>
      <c r="H332" s="183"/>
      <c r="I332" s="239"/>
      <c r="J332" s="239"/>
      <c r="K332" s="239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</row>
    <row r="333" spans="5:22" x14ac:dyDescent="0.25">
      <c r="E333" s="183"/>
      <c r="F333" s="183"/>
      <c r="G333" s="183"/>
      <c r="H333" s="183"/>
      <c r="I333" s="239"/>
      <c r="J333" s="239"/>
      <c r="K333" s="239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</row>
    <row r="334" spans="5:22" x14ac:dyDescent="0.25">
      <c r="E334" s="183"/>
      <c r="F334" s="183"/>
      <c r="G334" s="183"/>
      <c r="H334" s="183"/>
      <c r="I334" s="239"/>
      <c r="J334" s="239"/>
      <c r="K334" s="239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</row>
    <row r="335" spans="5:22" x14ac:dyDescent="0.25">
      <c r="E335" s="183"/>
      <c r="F335" s="183"/>
      <c r="G335" s="183"/>
      <c r="H335" s="183"/>
      <c r="I335" s="239"/>
      <c r="J335" s="239"/>
      <c r="K335" s="239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</row>
    <row r="336" spans="5:22" x14ac:dyDescent="0.25">
      <c r="E336" s="183"/>
      <c r="F336" s="183"/>
      <c r="G336" s="183"/>
      <c r="H336" s="183"/>
      <c r="I336" s="239"/>
      <c r="J336" s="239"/>
      <c r="K336" s="239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</row>
    <row r="337" spans="5:22" x14ac:dyDescent="0.25">
      <c r="E337" s="183"/>
      <c r="F337" s="183"/>
      <c r="G337" s="183"/>
      <c r="H337" s="183"/>
      <c r="I337" s="239"/>
      <c r="J337" s="239"/>
      <c r="K337" s="239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</row>
    <row r="338" spans="5:22" x14ac:dyDescent="0.25">
      <c r="E338" s="183"/>
      <c r="F338" s="183"/>
      <c r="G338" s="183"/>
      <c r="H338" s="183"/>
      <c r="I338" s="239"/>
      <c r="J338" s="239"/>
      <c r="K338" s="239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</row>
    <row r="339" spans="5:22" x14ac:dyDescent="0.25">
      <c r="E339" s="183"/>
      <c r="F339" s="183"/>
      <c r="G339" s="183"/>
      <c r="H339" s="183"/>
      <c r="I339" s="239"/>
      <c r="J339" s="239"/>
      <c r="K339" s="239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</row>
    <row r="340" spans="5:22" x14ac:dyDescent="0.25">
      <c r="E340" s="183"/>
      <c r="F340" s="183"/>
      <c r="G340" s="183"/>
      <c r="H340" s="183"/>
      <c r="I340" s="239"/>
      <c r="J340" s="239"/>
      <c r="K340" s="239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</row>
    <row r="341" spans="5:22" x14ac:dyDescent="0.25">
      <c r="E341" s="183"/>
      <c r="F341" s="183"/>
      <c r="G341" s="183"/>
      <c r="H341" s="183"/>
      <c r="I341" s="239"/>
      <c r="J341" s="239"/>
      <c r="K341" s="239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</row>
    <row r="342" spans="5:22" x14ac:dyDescent="0.25">
      <c r="E342" s="183"/>
      <c r="F342" s="183"/>
      <c r="G342" s="183"/>
      <c r="H342" s="183"/>
      <c r="I342" s="239"/>
      <c r="J342" s="239"/>
      <c r="K342" s="239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</row>
    <row r="343" spans="5:22" x14ac:dyDescent="0.25">
      <c r="E343" s="183"/>
      <c r="F343" s="183"/>
      <c r="G343" s="183"/>
      <c r="H343" s="183"/>
      <c r="I343" s="239"/>
      <c r="J343" s="239"/>
      <c r="K343" s="239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</row>
    <row r="344" spans="5:22" x14ac:dyDescent="0.25">
      <c r="E344" s="183"/>
      <c r="F344" s="183"/>
      <c r="G344" s="183"/>
      <c r="H344" s="183"/>
      <c r="I344" s="239"/>
      <c r="J344" s="239"/>
      <c r="K344" s="239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</row>
    <row r="345" spans="5:22" x14ac:dyDescent="0.25">
      <c r="E345" s="183"/>
      <c r="F345" s="183"/>
      <c r="G345" s="183"/>
      <c r="H345" s="183"/>
      <c r="I345" s="239"/>
      <c r="J345" s="239"/>
      <c r="K345" s="239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</row>
    <row r="346" spans="5:22" x14ac:dyDescent="0.25">
      <c r="E346" s="183"/>
      <c r="F346" s="183"/>
      <c r="G346" s="183"/>
      <c r="H346" s="183"/>
      <c r="I346" s="239"/>
      <c r="J346" s="239"/>
      <c r="K346" s="239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</row>
    <row r="347" spans="5:22" x14ac:dyDescent="0.25">
      <c r="E347" s="183"/>
      <c r="F347" s="183"/>
      <c r="G347" s="183"/>
      <c r="H347" s="183"/>
      <c r="I347" s="239"/>
      <c r="J347" s="239"/>
      <c r="K347" s="239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</row>
    <row r="348" spans="5:22" x14ac:dyDescent="0.25">
      <c r="E348" s="183"/>
      <c r="F348" s="183"/>
      <c r="G348" s="183"/>
      <c r="H348" s="183"/>
      <c r="I348" s="239"/>
      <c r="J348" s="239"/>
      <c r="K348" s="239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</row>
    <row r="349" spans="5:22" x14ac:dyDescent="0.25">
      <c r="E349" s="183"/>
      <c r="F349" s="183"/>
      <c r="G349" s="183"/>
      <c r="H349" s="183"/>
      <c r="I349" s="239"/>
      <c r="J349" s="239"/>
      <c r="K349" s="239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</row>
    <row r="350" spans="5:22" x14ac:dyDescent="0.25">
      <c r="E350" s="183"/>
      <c r="F350" s="183"/>
      <c r="G350" s="183"/>
      <c r="H350" s="183"/>
      <c r="I350" s="239"/>
      <c r="J350" s="239"/>
      <c r="K350" s="239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</row>
    <row r="351" spans="5:22" x14ac:dyDescent="0.25">
      <c r="E351" s="183"/>
      <c r="F351" s="183"/>
      <c r="G351" s="183"/>
      <c r="H351" s="183"/>
      <c r="I351" s="239"/>
      <c r="J351" s="239"/>
      <c r="K351" s="239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</row>
    <row r="352" spans="5:22" x14ac:dyDescent="0.25">
      <c r="E352" s="183"/>
      <c r="F352" s="183"/>
      <c r="G352" s="183"/>
      <c r="H352" s="183"/>
      <c r="I352" s="239"/>
      <c r="J352" s="239"/>
      <c r="K352" s="239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</row>
    <row r="353" spans="5:22" x14ac:dyDescent="0.25">
      <c r="E353" s="183"/>
      <c r="F353" s="183"/>
      <c r="G353" s="183"/>
      <c r="H353" s="183"/>
      <c r="I353" s="239"/>
      <c r="J353" s="239"/>
      <c r="K353" s="239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</row>
    <row r="354" spans="5:22" x14ac:dyDescent="0.25">
      <c r="E354" s="183"/>
      <c r="F354" s="183"/>
      <c r="G354" s="183"/>
      <c r="H354" s="183"/>
      <c r="I354" s="239"/>
      <c r="J354" s="239"/>
      <c r="K354" s="239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</row>
    <row r="355" spans="5:22" x14ac:dyDescent="0.25">
      <c r="E355" s="183"/>
      <c r="F355" s="183"/>
      <c r="G355" s="183"/>
      <c r="H355" s="183"/>
      <c r="I355" s="239"/>
      <c r="J355" s="239"/>
      <c r="K355" s="239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</row>
    <row r="356" spans="5:22" x14ac:dyDescent="0.25">
      <c r="E356" s="183"/>
      <c r="F356" s="183"/>
      <c r="G356" s="183"/>
      <c r="H356" s="183"/>
      <c r="I356" s="239"/>
      <c r="J356" s="239"/>
      <c r="K356" s="239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</row>
    <row r="357" spans="5:22" x14ac:dyDescent="0.25">
      <c r="E357" s="183"/>
      <c r="F357" s="183"/>
      <c r="G357" s="183"/>
      <c r="H357" s="183"/>
      <c r="I357" s="239"/>
      <c r="J357" s="239"/>
      <c r="K357" s="239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</row>
    <row r="358" spans="5:22" x14ac:dyDescent="0.25">
      <c r="E358" s="183"/>
      <c r="F358" s="183"/>
      <c r="G358" s="183"/>
      <c r="H358" s="183"/>
      <c r="I358" s="239"/>
      <c r="J358" s="239"/>
      <c r="K358" s="239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</row>
    <row r="359" spans="5:22" x14ac:dyDescent="0.25">
      <c r="E359" s="183"/>
      <c r="F359" s="183"/>
      <c r="G359" s="183"/>
      <c r="H359" s="183"/>
      <c r="I359" s="239"/>
      <c r="J359" s="239"/>
      <c r="K359" s="239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</row>
    <row r="360" spans="5:22" x14ac:dyDescent="0.25">
      <c r="E360" s="183"/>
      <c r="F360" s="183"/>
      <c r="G360" s="183"/>
      <c r="H360" s="183"/>
      <c r="I360" s="239"/>
      <c r="J360" s="239"/>
      <c r="K360" s="239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</row>
    <row r="361" spans="5:22" x14ac:dyDescent="0.25">
      <c r="E361" s="183"/>
      <c r="F361" s="183"/>
      <c r="G361" s="183"/>
      <c r="H361" s="183"/>
      <c r="I361" s="239"/>
      <c r="J361" s="239"/>
      <c r="K361" s="239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</row>
    <row r="362" spans="5:22" x14ac:dyDescent="0.25">
      <c r="E362" s="183"/>
      <c r="F362" s="183"/>
      <c r="G362" s="183"/>
      <c r="H362" s="183"/>
      <c r="I362" s="239"/>
      <c r="J362" s="239"/>
      <c r="K362" s="239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</row>
    <row r="363" spans="5:22" x14ac:dyDescent="0.25">
      <c r="E363" s="183"/>
      <c r="F363" s="183"/>
      <c r="G363" s="183"/>
      <c r="H363" s="183"/>
      <c r="I363" s="239"/>
      <c r="J363" s="239"/>
      <c r="K363" s="239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</row>
    <row r="364" spans="5:22" x14ac:dyDescent="0.25"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</row>
    <row r="365" spans="5:22" x14ac:dyDescent="0.25"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</row>
    <row r="366" spans="5:22" x14ac:dyDescent="0.25"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</row>
    <row r="367" spans="5:22" x14ac:dyDescent="0.25"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</row>
    <row r="368" spans="5:22" x14ac:dyDescent="0.25"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</row>
    <row r="369" spans="5:22" x14ac:dyDescent="0.25"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</row>
    <row r="370" spans="5:22" x14ac:dyDescent="0.25"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</row>
    <row r="371" spans="5:22" x14ac:dyDescent="0.25"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</row>
    <row r="372" spans="5:22" x14ac:dyDescent="0.25"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</row>
    <row r="373" spans="5:22" x14ac:dyDescent="0.25"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</row>
    <row r="374" spans="5:22" x14ac:dyDescent="0.25"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</row>
    <row r="375" spans="5:22" x14ac:dyDescent="0.25"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</row>
    <row r="376" spans="5:22" x14ac:dyDescent="0.25"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</row>
    <row r="377" spans="5:22" x14ac:dyDescent="0.25"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</row>
    <row r="378" spans="5:22" x14ac:dyDescent="0.25"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</row>
    <row r="379" spans="5:22" x14ac:dyDescent="0.25"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</row>
    <row r="380" spans="5:22" x14ac:dyDescent="0.25"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</row>
    <row r="381" spans="5:22" x14ac:dyDescent="0.25"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</row>
    <row r="382" spans="5:22" x14ac:dyDescent="0.25"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</row>
    <row r="383" spans="5:22" x14ac:dyDescent="0.25"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</row>
    <row r="384" spans="5:22" x14ac:dyDescent="0.25"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</row>
    <row r="385" spans="5:22" x14ac:dyDescent="0.25"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</row>
    <row r="386" spans="5:22" x14ac:dyDescent="0.25"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</row>
    <row r="387" spans="5:22" x14ac:dyDescent="0.25"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</row>
    <row r="388" spans="5:22" x14ac:dyDescent="0.25"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</row>
    <row r="389" spans="5:22" x14ac:dyDescent="0.25"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</row>
    <row r="390" spans="5:22" x14ac:dyDescent="0.25"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</row>
    <row r="391" spans="5:22" x14ac:dyDescent="0.25"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</row>
    <row r="392" spans="5:22" x14ac:dyDescent="0.25"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</row>
    <row r="393" spans="5:22" x14ac:dyDescent="0.25"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</row>
    <row r="394" spans="5:22" x14ac:dyDescent="0.25"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</row>
    <row r="395" spans="5:22" x14ac:dyDescent="0.25"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</row>
    <row r="396" spans="5:22" x14ac:dyDescent="0.25"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</row>
    <row r="397" spans="5:22" x14ac:dyDescent="0.25"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</row>
    <row r="398" spans="5:22" x14ac:dyDescent="0.25"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</row>
    <row r="399" spans="5:22" x14ac:dyDescent="0.25"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</row>
    <row r="400" spans="5:22" x14ac:dyDescent="0.25"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</row>
    <row r="401" spans="5:22" x14ac:dyDescent="0.25"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</row>
    <row r="402" spans="5:22" x14ac:dyDescent="0.25"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</row>
    <row r="403" spans="5:22" x14ac:dyDescent="0.25"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</row>
    <row r="404" spans="5:22" x14ac:dyDescent="0.25"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</row>
    <row r="405" spans="5:22" x14ac:dyDescent="0.25"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</row>
    <row r="406" spans="5:22" x14ac:dyDescent="0.25"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</row>
    <row r="407" spans="5:22" x14ac:dyDescent="0.25"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</row>
    <row r="408" spans="5:22" x14ac:dyDescent="0.25"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</row>
    <row r="409" spans="5:22" x14ac:dyDescent="0.25"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</row>
    <row r="410" spans="5:22" x14ac:dyDescent="0.25"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</row>
    <row r="411" spans="5:22" x14ac:dyDescent="0.25"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</row>
    <row r="412" spans="5:22" x14ac:dyDescent="0.25"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</row>
    <row r="413" spans="5:22" x14ac:dyDescent="0.25"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</row>
    <row r="414" spans="5:22" x14ac:dyDescent="0.25"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</row>
    <row r="415" spans="5:22" x14ac:dyDescent="0.25"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</row>
    <row r="416" spans="5:22" x14ac:dyDescent="0.25"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</row>
    <row r="417" spans="5:22" x14ac:dyDescent="0.25"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5:22" x14ac:dyDescent="0.25"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</row>
    <row r="419" spans="5:22" x14ac:dyDescent="0.25"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</row>
    <row r="420" spans="5:22" x14ac:dyDescent="0.25"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</row>
    <row r="421" spans="5:22" x14ac:dyDescent="0.25"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</row>
    <row r="422" spans="5:22" x14ac:dyDescent="0.25"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</row>
    <row r="423" spans="5:22" x14ac:dyDescent="0.25"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</row>
    <row r="424" spans="5:22" x14ac:dyDescent="0.25"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</row>
    <row r="425" spans="5:22" x14ac:dyDescent="0.25"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</row>
    <row r="426" spans="5:22" x14ac:dyDescent="0.25"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</row>
    <row r="427" spans="5:22" x14ac:dyDescent="0.25"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</row>
    <row r="428" spans="5:22" x14ac:dyDescent="0.25"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</row>
    <row r="429" spans="5:22" x14ac:dyDescent="0.25"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</row>
    <row r="430" spans="5:22" x14ac:dyDescent="0.25"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</row>
    <row r="431" spans="5:22" x14ac:dyDescent="0.25"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</row>
    <row r="432" spans="5:22" x14ac:dyDescent="0.25"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</row>
    <row r="433" spans="5:22" x14ac:dyDescent="0.25"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</row>
    <row r="434" spans="5:22" x14ac:dyDescent="0.25"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</row>
    <row r="435" spans="5:22" x14ac:dyDescent="0.25"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</row>
    <row r="436" spans="5:22" x14ac:dyDescent="0.25"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</row>
    <row r="437" spans="5:22" x14ac:dyDescent="0.25"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</row>
    <row r="438" spans="5:22" x14ac:dyDescent="0.25"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</row>
    <row r="439" spans="5:22" x14ac:dyDescent="0.25"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</row>
    <row r="440" spans="5:22" x14ac:dyDescent="0.25"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</row>
    <row r="441" spans="5:22" x14ac:dyDescent="0.25"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</row>
    <row r="442" spans="5:22" x14ac:dyDescent="0.25"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</row>
    <row r="443" spans="5:22" x14ac:dyDescent="0.25"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</row>
    <row r="444" spans="5:22" x14ac:dyDescent="0.25"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</row>
    <row r="445" spans="5:22" x14ac:dyDescent="0.25"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</row>
    <row r="446" spans="5:22" x14ac:dyDescent="0.25"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</row>
    <row r="447" spans="5:22" x14ac:dyDescent="0.25"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</row>
    <row r="448" spans="5:22" x14ac:dyDescent="0.25"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</row>
    <row r="449" spans="5:22" x14ac:dyDescent="0.25"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</row>
    <row r="450" spans="5:22" x14ac:dyDescent="0.25"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</row>
    <row r="451" spans="5:22" x14ac:dyDescent="0.25"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</row>
    <row r="452" spans="5:22" x14ac:dyDescent="0.25"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</row>
    <row r="453" spans="5:22" x14ac:dyDescent="0.25"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</row>
    <row r="454" spans="5:22" x14ac:dyDescent="0.25"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</row>
    <row r="455" spans="5:22" x14ac:dyDescent="0.25"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</row>
    <row r="456" spans="5:22" x14ac:dyDescent="0.25"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</row>
    <row r="457" spans="5:22" x14ac:dyDescent="0.25"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</row>
    <row r="458" spans="5:22" x14ac:dyDescent="0.25"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</row>
    <row r="459" spans="5:22" x14ac:dyDescent="0.25"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</row>
    <row r="460" spans="5:22" x14ac:dyDescent="0.25"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</row>
    <row r="461" spans="5:22" x14ac:dyDescent="0.25"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</row>
    <row r="462" spans="5:22" x14ac:dyDescent="0.25"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</row>
    <row r="463" spans="5:22" x14ac:dyDescent="0.25"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</row>
    <row r="464" spans="5:22" x14ac:dyDescent="0.25"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</row>
    <row r="465" spans="5:22" x14ac:dyDescent="0.25"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</row>
    <row r="466" spans="5:22" x14ac:dyDescent="0.25"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</row>
    <row r="467" spans="5:22" x14ac:dyDescent="0.25"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</row>
    <row r="468" spans="5:22" x14ac:dyDescent="0.25"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</row>
    <row r="469" spans="5:22" x14ac:dyDescent="0.25"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</row>
    <row r="470" spans="5:22" x14ac:dyDescent="0.25"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</row>
    <row r="471" spans="5:22" x14ac:dyDescent="0.25"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</row>
    <row r="472" spans="5:22" x14ac:dyDescent="0.25"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</row>
    <row r="473" spans="5:22" x14ac:dyDescent="0.25"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</row>
    <row r="474" spans="5:22" x14ac:dyDescent="0.25"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</row>
    <row r="475" spans="5:22" x14ac:dyDescent="0.25"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</row>
    <row r="476" spans="5:22" x14ac:dyDescent="0.25"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</row>
    <row r="477" spans="5:22" x14ac:dyDescent="0.25"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</row>
    <row r="478" spans="5:22" x14ac:dyDescent="0.25"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</row>
    <row r="479" spans="5:22" x14ac:dyDescent="0.25"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</row>
    <row r="480" spans="5:22" x14ac:dyDescent="0.25"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</row>
    <row r="481" spans="5:22" x14ac:dyDescent="0.25"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</row>
    <row r="482" spans="5:22" x14ac:dyDescent="0.25"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</row>
    <row r="483" spans="5:22" x14ac:dyDescent="0.25"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</row>
    <row r="484" spans="5:22" x14ac:dyDescent="0.25"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</row>
    <row r="485" spans="5:22" x14ac:dyDescent="0.25"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</row>
    <row r="486" spans="5:22" x14ac:dyDescent="0.25"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</row>
    <row r="487" spans="5:22" x14ac:dyDescent="0.25"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5:22" x14ac:dyDescent="0.25"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</row>
    <row r="489" spans="5:22" x14ac:dyDescent="0.25"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</row>
    <row r="490" spans="5:22" x14ac:dyDescent="0.25"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</row>
    <row r="491" spans="5:22" x14ac:dyDescent="0.25"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</row>
    <row r="492" spans="5:22" x14ac:dyDescent="0.25"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</row>
    <row r="493" spans="5:22" x14ac:dyDescent="0.25"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</row>
    <row r="494" spans="5:22" x14ac:dyDescent="0.25"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5:22" x14ac:dyDescent="0.25"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</row>
    <row r="496" spans="5:22" x14ac:dyDescent="0.25"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</row>
    <row r="497" spans="5:22" x14ac:dyDescent="0.25"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</row>
    <row r="498" spans="5:22" x14ac:dyDescent="0.25"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</row>
    <row r="499" spans="5:22" x14ac:dyDescent="0.25"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</row>
    <row r="500" spans="5:22" x14ac:dyDescent="0.25"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</row>
    <row r="501" spans="5:22" x14ac:dyDescent="0.25"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</row>
    <row r="502" spans="5:22" x14ac:dyDescent="0.25"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</row>
    <row r="503" spans="5:22" x14ac:dyDescent="0.25"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</row>
    <row r="504" spans="5:22" x14ac:dyDescent="0.25"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</row>
    <row r="505" spans="5:22" x14ac:dyDescent="0.25"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</row>
    <row r="506" spans="5:22" x14ac:dyDescent="0.25"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</row>
    <row r="507" spans="5:22" x14ac:dyDescent="0.25"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</row>
    <row r="508" spans="5:22" x14ac:dyDescent="0.25"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</row>
    <row r="509" spans="5:22" x14ac:dyDescent="0.25"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</row>
    <row r="510" spans="5:22" x14ac:dyDescent="0.25"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</row>
    <row r="511" spans="5:22" x14ac:dyDescent="0.25"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</row>
    <row r="512" spans="5:22" x14ac:dyDescent="0.25"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</row>
    <row r="513" spans="5:22" x14ac:dyDescent="0.25"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</row>
    <row r="514" spans="5:22" x14ac:dyDescent="0.25"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</row>
    <row r="515" spans="5:22" x14ac:dyDescent="0.25"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</row>
    <row r="516" spans="5:22" x14ac:dyDescent="0.25"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</row>
    <row r="517" spans="5:22" x14ac:dyDescent="0.25"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</row>
    <row r="518" spans="5:22" x14ac:dyDescent="0.25"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</row>
    <row r="519" spans="5:22" x14ac:dyDescent="0.25"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</row>
    <row r="520" spans="5:22" x14ac:dyDescent="0.25"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</row>
    <row r="521" spans="5:22" x14ac:dyDescent="0.25"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</row>
    <row r="522" spans="5:22" x14ac:dyDescent="0.25"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</row>
    <row r="523" spans="5:22" x14ac:dyDescent="0.25"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</row>
    <row r="524" spans="5:22" x14ac:dyDescent="0.25"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</row>
    <row r="525" spans="5:22" x14ac:dyDescent="0.25"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</row>
    <row r="526" spans="5:22" x14ac:dyDescent="0.25"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</row>
    <row r="527" spans="5:22" x14ac:dyDescent="0.25"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</row>
    <row r="528" spans="5:22" x14ac:dyDescent="0.25"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</row>
    <row r="529" spans="5:22" x14ac:dyDescent="0.25"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</row>
    <row r="530" spans="5:22" x14ac:dyDescent="0.25"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</row>
    <row r="531" spans="5:22" x14ac:dyDescent="0.25"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</row>
    <row r="532" spans="5:22" x14ac:dyDescent="0.25"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</row>
    <row r="533" spans="5:22" x14ac:dyDescent="0.25"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</row>
    <row r="534" spans="5:22" x14ac:dyDescent="0.25"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</row>
    <row r="535" spans="5:22" x14ac:dyDescent="0.25"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</row>
    <row r="536" spans="5:22" x14ac:dyDescent="0.25"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</row>
    <row r="537" spans="5:22" x14ac:dyDescent="0.25"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</row>
    <row r="538" spans="5:22" x14ac:dyDescent="0.25"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</row>
    <row r="539" spans="5:22" x14ac:dyDescent="0.25"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</row>
    <row r="540" spans="5:22" x14ac:dyDescent="0.25"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</row>
    <row r="541" spans="5:22" x14ac:dyDescent="0.25"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</row>
    <row r="542" spans="5:22" x14ac:dyDescent="0.25"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</row>
    <row r="543" spans="5:22" x14ac:dyDescent="0.25"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</row>
    <row r="544" spans="5:22" x14ac:dyDescent="0.25"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</row>
    <row r="545" spans="5:22" x14ac:dyDescent="0.25"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</row>
    <row r="546" spans="5:22" x14ac:dyDescent="0.25"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</row>
    <row r="547" spans="5:22" x14ac:dyDescent="0.25"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</row>
    <row r="548" spans="5:22" x14ac:dyDescent="0.25"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</row>
    <row r="549" spans="5:22" x14ac:dyDescent="0.25"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</row>
    <row r="550" spans="5:22" x14ac:dyDescent="0.25"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</row>
    <row r="551" spans="5:22" x14ac:dyDescent="0.25"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</row>
    <row r="552" spans="5:22" x14ac:dyDescent="0.25"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</row>
    <row r="553" spans="5:22" x14ac:dyDescent="0.25"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</row>
    <row r="554" spans="5:22" x14ac:dyDescent="0.25"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</row>
    <row r="555" spans="5:22" x14ac:dyDescent="0.25"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</row>
    <row r="556" spans="5:22" x14ac:dyDescent="0.25"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</row>
    <row r="557" spans="5:22" x14ac:dyDescent="0.25"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</row>
    <row r="558" spans="5:22" x14ac:dyDescent="0.25"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</row>
    <row r="559" spans="5:22" x14ac:dyDescent="0.25"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</row>
    <row r="560" spans="5:22" x14ac:dyDescent="0.25"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</row>
    <row r="561" spans="5:22" x14ac:dyDescent="0.25"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</row>
    <row r="562" spans="5:22" x14ac:dyDescent="0.25"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</row>
    <row r="563" spans="5:22" x14ac:dyDescent="0.25"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</row>
    <row r="564" spans="5:22" x14ac:dyDescent="0.25"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</row>
    <row r="565" spans="5:22" x14ac:dyDescent="0.25"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</row>
    <row r="566" spans="5:22" x14ac:dyDescent="0.25"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</row>
    <row r="567" spans="5:22" x14ac:dyDescent="0.25"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</row>
    <row r="568" spans="5:22" x14ac:dyDescent="0.25"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</row>
    <row r="569" spans="5:22" x14ac:dyDescent="0.25"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</row>
    <row r="570" spans="5:22" x14ac:dyDescent="0.25"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</row>
    <row r="571" spans="5:22" x14ac:dyDescent="0.25"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</row>
    <row r="572" spans="5:22" x14ac:dyDescent="0.25"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</row>
    <row r="573" spans="5:22" x14ac:dyDescent="0.25"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</row>
    <row r="574" spans="5:22" x14ac:dyDescent="0.25"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</row>
    <row r="575" spans="5:22" x14ac:dyDescent="0.25"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</row>
    <row r="576" spans="5:22" x14ac:dyDescent="0.25"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</row>
    <row r="577" spans="5:22" x14ac:dyDescent="0.25"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</row>
    <row r="578" spans="5:22" x14ac:dyDescent="0.25"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</row>
    <row r="579" spans="5:22" x14ac:dyDescent="0.25"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</row>
    <row r="580" spans="5:22" x14ac:dyDescent="0.25"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</row>
    <row r="581" spans="5:22" x14ac:dyDescent="0.25"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</row>
    <row r="582" spans="5:22" x14ac:dyDescent="0.25"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</row>
    <row r="583" spans="5:22" x14ac:dyDescent="0.25"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</row>
    <row r="584" spans="5:22" x14ac:dyDescent="0.25"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</row>
    <row r="585" spans="5:22" x14ac:dyDescent="0.25"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</row>
    <row r="586" spans="5:22" x14ac:dyDescent="0.25"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</row>
    <row r="587" spans="5:22" x14ac:dyDescent="0.25"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</row>
    <row r="588" spans="5:22" x14ac:dyDescent="0.25"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</row>
    <row r="589" spans="5:22" x14ac:dyDescent="0.25"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</row>
    <row r="590" spans="5:22" x14ac:dyDescent="0.25"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</row>
    <row r="591" spans="5:22" x14ac:dyDescent="0.25"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</row>
    <row r="592" spans="5:22" x14ac:dyDescent="0.25"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</row>
    <row r="593" spans="5:22" x14ac:dyDescent="0.25"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</row>
    <row r="594" spans="5:22" x14ac:dyDescent="0.25"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</row>
    <row r="595" spans="5:22" x14ac:dyDescent="0.25"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</row>
    <row r="596" spans="5:22" x14ac:dyDescent="0.25"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</row>
    <row r="597" spans="5:22" x14ac:dyDescent="0.25"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</row>
    <row r="598" spans="5:22" x14ac:dyDescent="0.25"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</row>
    <row r="599" spans="5:22" x14ac:dyDescent="0.25"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</row>
    <row r="600" spans="5:22" x14ac:dyDescent="0.25"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</row>
    <row r="601" spans="5:22" x14ac:dyDescent="0.25"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</row>
    <row r="602" spans="5:22" x14ac:dyDescent="0.25"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</row>
    <row r="603" spans="5:22" x14ac:dyDescent="0.25"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</row>
    <row r="604" spans="5:22" x14ac:dyDescent="0.25"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</row>
    <row r="605" spans="5:22" x14ac:dyDescent="0.25"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</row>
    <row r="606" spans="5:22" x14ac:dyDescent="0.25"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</row>
    <row r="607" spans="5:22" x14ac:dyDescent="0.25"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</row>
    <row r="608" spans="5:22" x14ac:dyDescent="0.25"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</row>
    <row r="609" spans="5:22" x14ac:dyDescent="0.25"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</row>
    <row r="610" spans="5:22" x14ac:dyDescent="0.25"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</row>
    <row r="611" spans="5:22" x14ac:dyDescent="0.25"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</row>
    <row r="612" spans="5:22" x14ac:dyDescent="0.25"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</row>
    <row r="613" spans="5:22" x14ac:dyDescent="0.25"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</row>
    <row r="614" spans="5:22" x14ac:dyDescent="0.25"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</row>
    <row r="615" spans="5:22" x14ac:dyDescent="0.25"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</row>
    <row r="616" spans="5:22" x14ac:dyDescent="0.25"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</row>
    <row r="617" spans="5:22" x14ac:dyDescent="0.25"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</row>
    <row r="618" spans="5:22" x14ac:dyDescent="0.25"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</row>
    <row r="619" spans="5:22" x14ac:dyDescent="0.25"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</row>
    <row r="620" spans="5:22" x14ac:dyDescent="0.25"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</row>
    <row r="621" spans="5:22" x14ac:dyDescent="0.25"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</row>
    <row r="622" spans="5:22" x14ac:dyDescent="0.25"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</row>
    <row r="623" spans="5:22" x14ac:dyDescent="0.25"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</row>
    <row r="624" spans="5:22" x14ac:dyDescent="0.25"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</row>
    <row r="625" spans="5:22" x14ac:dyDescent="0.25"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</row>
    <row r="626" spans="5:22" x14ac:dyDescent="0.25"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</row>
    <row r="627" spans="5:22" x14ac:dyDescent="0.25"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</row>
    <row r="628" spans="5:22" x14ac:dyDescent="0.25"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</row>
    <row r="629" spans="5:22" x14ac:dyDescent="0.25"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</row>
    <row r="630" spans="5:22" x14ac:dyDescent="0.25"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</row>
    <row r="631" spans="5:22" x14ac:dyDescent="0.25"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</row>
    <row r="632" spans="5:22" x14ac:dyDescent="0.25"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</row>
    <row r="633" spans="5:22" x14ac:dyDescent="0.25"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</row>
    <row r="634" spans="5:22" x14ac:dyDescent="0.25"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</row>
    <row r="635" spans="5:22" x14ac:dyDescent="0.25"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</row>
    <row r="636" spans="5:22" x14ac:dyDescent="0.25"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</row>
    <row r="637" spans="5:22" x14ac:dyDescent="0.25"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</row>
    <row r="638" spans="5:22" x14ac:dyDescent="0.25"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</row>
    <row r="639" spans="5:22" x14ac:dyDescent="0.25"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</row>
    <row r="640" spans="5:22" x14ac:dyDescent="0.25"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</row>
    <row r="641" spans="5:22" x14ac:dyDescent="0.25"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</row>
    <row r="642" spans="5:22" x14ac:dyDescent="0.25"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</row>
    <row r="643" spans="5:22" x14ac:dyDescent="0.25"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</row>
    <row r="644" spans="5:22" x14ac:dyDescent="0.25"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</row>
    <row r="645" spans="5:22" x14ac:dyDescent="0.25"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</row>
    <row r="646" spans="5:22" x14ac:dyDescent="0.25"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</row>
    <row r="647" spans="5:22" x14ac:dyDescent="0.25"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</row>
    <row r="648" spans="5:22" x14ac:dyDescent="0.25"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</row>
    <row r="649" spans="5:22" x14ac:dyDescent="0.25"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</row>
    <row r="650" spans="5:22" x14ac:dyDescent="0.25"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</row>
    <row r="651" spans="5:22" x14ac:dyDescent="0.25"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</row>
    <row r="652" spans="5:22" x14ac:dyDescent="0.25"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</row>
    <row r="653" spans="5:22" x14ac:dyDescent="0.25"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</row>
    <row r="654" spans="5:22" x14ac:dyDescent="0.25"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</row>
    <row r="655" spans="5:22" x14ac:dyDescent="0.25"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</row>
    <row r="656" spans="5:22" x14ac:dyDescent="0.25"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</row>
    <row r="657" spans="5:22" x14ac:dyDescent="0.25"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</row>
    <row r="658" spans="5:22" x14ac:dyDescent="0.25"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</row>
    <row r="659" spans="5:22" x14ac:dyDescent="0.25"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</row>
    <row r="660" spans="5:22" x14ac:dyDescent="0.25"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</row>
    <row r="661" spans="5:22" x14ac:dyDescent="0.25"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</row>
    <row r="662" spans="5:22" x14ac:dyDescent="0.25"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</row>
    <row r="663" spans="5:22" x14ac:dyDescent="0.25"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</row>
    <row r="664" spans="5:22" x14ac:dyDescent="0.25"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</row>
    <row r="665" spans="5:22" x14ac:dyDescent="0.25"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</row>
    <row r="666" spans="5:22" x14ac:dyDescent="0.25"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</row>
    <row r="667" spans="5:22" x14ac:dyDescent="0.25"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</row>
    <row r="668" spans="5:22" x14ac:dyDescent="0.25"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</row>
    <row r="669" spans="5:22" x14ac:dyDescent="0.25"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</row>
    <row r="670" spans="5:22" x14ac:dyDescent="0.25"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</row>
    <row r="671" spans="5:22" x14ac:dyDescent="0.25"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</row>
    <row r="672" spans="5:22" x14ac:dyDescent="0.25"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</row>
    <row r="673" spans="5:22" x14ac:dyDescent="0.25"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</row>
    <row r="674" spans="5:22" x14ac:dyDescent="0.25"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</row>
    <row r="675" spans="5:22" x14ac:dyDescent="0.25"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</row>
    <row r="676" spans="5:22" x14ac:dyDescent="0.25"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</row>
    <row r="677" spans="5:22" x14ac:dyDescent="0.25"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</row>
    <row r="678" spans="5:22" x14ac:dyDescent="0.25"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</row>
    <row r="679" spans="5:22" x14ac:dyDescent="0.25"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</row>
    <row r="680" spans="5:22" x14ac:dyDescent="0.25"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</row>
    <row r="681" spans="5:22" x14ac:dyDescent="0.25"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</row>
    <row r="682" spans="5:22" x14ac:dyDescent="0.25"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</row>
    <row r="683" spans="5:22" x14ac:dyDescent="0.25"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</row>
    <row r="684" spans="5:22" x14ac:dyDescent="0.25"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</row>
    <row r="685" spans="5:22" x14ac:dyDescent="0.25"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</row>
    <row r="686" spans="5:22" x14ac:dyDescent="0.25"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</row>
    <row r="687" spans="5:22" x14ac:dyDescent="0.25"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</row>
    <row r="688" spans="5:22" x14ac:dyDescent="0.25"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</row>
    <row r="689" spans="5:22" x14ac:dyDescent="0.25"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</row>
    <row r="690" spans="5:22" x14ac:dyDescent="0.25"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</row>
    <row r="691" spans="5:22" x14ac:dyDescent="0.25"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</row>
    <row r="692" spans="5:22" x14ac:dyDescent="0.25"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</row>
    <row r="693" spans="5:22" x14ac:dyDescent="0.25"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</row>
    <row r="694" spans="5:22" x14ac:dyDescent="0.25"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</row>
    <row r="695" spans="5:22" x14ac:dyDescent="0.25"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</row>
    <row r="696" spans="5:22" x14ac:dyDescent="0.25"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</row>
    <row r="697" spans="5:22" x14ac:dyDescent="0.25"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</row>
    <row r="698" spans="5:22" x14ac:dyDescent="0.25"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</row>
    <row r="699" spans="5:22" x14ac:dyDescent="0.25"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</row>
    <row r="700" spans="5:22" x14ac:dyDescent="0.25"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</row>
    <row r="701" spans="5:22" x14ac:dyDescent="0.25"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</row>
    <row r="702" spans="5:22" x14ac:dyDescent="0.25"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</row>
    <row r="703" spans="5:22" x14ac:dyDescent="0.25"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</row>
    <row r="704" spans="5:22" x14ac:dyDescent="0.25"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</row>
    <row r="705" spans="5:22" x14ac:dyDescent="0.25"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</row>
    <row r="706" spans="5:22" x14ac:dyDescent="0.25"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</row>
    <row r="707" spans="5:22" x14ac:dyDescent="0.25"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</row>
    <row r="708" spans="5:22" x14ac:dyDescent="0.25"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</row>
    <row r="709" spans="5:22" x14ac:dyDescent="0.25"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</row>
    <row r="710" spans="5:22" x14ac:dyDescent="0.25"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</row>
    <row r="711" spans="5:22" x14ac:dyDescent="0.25"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</row>
    <row r="712" spans="5:22" x14ac:dyDescent="0.25"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</row>
    <row r="713" spans="5:22" x14ac:dyDescent="0.25"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</row>
    <row r="714" spans="5:22" x14ac:dyDescent="0.25"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</row>
    <row r="715" spans="5:22" x14ac:dyDescent="0.25"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</row>
    <row r="716" spans="5:22" x14ac:dyDescent="0.25"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</row>
    <row r="717" spans="5:22" x14ac:dyDescent="0.25"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</row>
    <row r="718" spans="5:22" x14ac:dyDescent="0.25"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</row>
    <row r="719" spans="5:22" x14ac:dyDescent="0.25"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</row>
    <row r="720" spans="5:22" x14ac:dyDescent="0.25"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</row>
    <row r="721" spans="5:22" x14ac:dyDescent="0.25"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</row>
    <row r="722" spans="5:22" x14ac:dyDescent="0.25"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</row>
    <row r="723" spans="5:22" x14ac:dyDescent="0.25"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</row>
    <row r="724" spans="5:22" x14ac:dyDescent="0.25"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</row>
    <row r="725" spans="5:22" x14ac:dyDescent="0.25"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</row>
    <row r="726" spans="5:22" x14ac:dyDescent="0.25"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</row>
    <row r="727" spans="5:22" x14ac:dyDescent="0.25"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</row>
    <row r="728" spans="5:22" x14ac:dyDescent="0.25"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</row>
    <row r="729" spans="5:22" x14ac:dyDescent="0.25"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</row>
    <row r="730" spans="5:22" x14ac:dyDescent="0.25"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</row>
    <row r="731" spans="5:22" x14ac:dyDescent="0.25"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</row>
    <row r="732" spans="5:22" x14ac:dyDescent="0.25"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</row>
    <row r="733" spans="5:22" x14ac:dyDescent="0.25"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</row>
    <row r="734" spans="5:22" x14ac:dyDescent="0.25"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</row>
    <row r="735" spans="5:22" x14ac:dyDescent="0.25"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</row>
    <row r="736" spans="5:22" x14ac:dyDescent="0.25"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</row>
    <row r="737" spans="5:22" x14ac:dyDescent="0.25"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</row>
    <row r="738" spans="5:22" x14ac:dyDescent="0.25"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</row>
    <row r="739" spans="5:22" x14ac:dyDescent="0.25"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</row>
    <row r="740" spans="5:22" x14ac:dyDescent="0.25"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</row>
    <row r="741" spans="5:22" x14ac:dyDescent="0.25"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</row>
    <row r="742" spans="5:22" x14ac:dyDescent="0.25"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</row>
    <row r="743" spans="5:22" x14ac:dyDescent="0.25"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</row>
    <row r="744" spans="5:22" x14ac:dyDescent="0.25"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</row>
    <row r="745" spans="5:22" x14ac:dyDescent="0.25"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</row>
    <row r="746" spans="5:22" x14ac:dyDescent="0.25"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</row>
    <row r="747" spans="5:22" x14ac:dyDescent="0.25"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</row>
    <row r="748" spans="5:22" x14ac:dyDescent="0.25"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</row>
    <row r="749" spans="5:22" x14ac:dyDescent="0.25"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</row>
    <row r="750" spans="5:22" x14ac:dyDescent="0.25"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</row>
    <row r="751" spans="5:22" x14ac:dyDescent="0.25"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</row>
    <row r="752" spans="5:22" x14ac:dyDescent="0.25"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</row>
    <row r="753" spans="5:22" x14ac:dyDescent="0.25"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</row>
    <row r="754" spans="5:22" x14ac:dyDescent="0.25"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</row>
    <row r="755" spans="5:22" x14ac:dyDescent="0.25"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</row>
    <row r="756" spans="5:22" x14ac:dyDescent="0.25"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</row>
    <row r="757" spans="5:22" x14ac:dyDescent="0.25"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</row>
    <row r="758" spans="5:22" x14ac:dyDescent="0.25"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</row>
    <row r="759" spans="5:22" x14ac:dyDescent="0.25"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</row>
    <row r="760" spans="5:22" x14ac:dyDescent="0.25"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</row>
    <row r="761" spans="5:22" x14ac:dyDescent="0.25"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</row>
    <row r="762" spans="5:22" x14ac:dyDescent="0.25"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</row>
    <row r="763" spans="5:22" x14ac:dyDescent="0.25"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</row>
    <row r="764" spans="5:22" x14ac:dyDescent="0.25"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</row>
    <row r="765" spans="5:22" x14ac:dyDescent="0.25"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</row>
    <row r="766" spans="5:22" x14ac:dyDescent="0.25"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</row>
    <row r="767" spans="5:22" x14ac:dyDescent="0.25"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</row>
    <row r="768" spans="5:22" x14ac:dyDescent="0.25"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</row>
    <row r="769" spans="5:22" x14ac:dyDescent="0.25"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</row>
    <row r="770" spans="5:22" x14ac:dyDescent="0.25"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</row>
    <row r="771" spans="5:22" x14ac:dyDescent="0.25"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</row>
    <row r="772" spans="5:22" x14ac:dyDescent="0.25"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</row>
    <row r="773" spans="5:22" x14ac:dyDescent="0.25"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</row>
    <row r="774" spans="5:22" x14ac:dyDescent="0.25"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</row>
    <row r="775" spans="5:22" x14ac:dyDescent="0.25"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</row>
    <row r="776" spans="5:22" x14ac:dyDescent="0.25"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</row>
    <row r="777" spans="5:22" x14ac:dyDescent="0.25"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</row>
    <row r="778" spans="5:22" x14ac:dyDescent="0.25"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</row>
    <row r="779" spans="5:22" x14ac:dyDescent="0.25"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</row>
    <row r="780" spans="5:22" x14ac:dyDescent="0.25"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</row>
    <row r="781" spans="5:22" x14ac:dyDescent="0.25"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</row>
    <row r="782" spans="5:22" x14ac:dyDescent="0.25"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</row>
    <row r="783" spans="5:22" x14ac:dyDescent="0.25"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</row>
    <row r="784" spans="5:22" x14ac:dyDescent="0.25"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</row>
    <row r="785" spans="5:22" x14ac:dyDescent="0.25"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5:22" x14ac:dyDescent="0.25"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</row>
    <row r="787" spans="5:22" x14ac:dyDescent="0.25"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</row>
    <row r="788" spans="5:22" x14ac:dyDescent="0.25"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</row>
    <row r="789" spans="5:22" x14ac:dyDescent="0.25"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</row>
    <row r="790" spans="5:22" x14ac:dyDescent="0.25"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</row>
    <row r="791" spans="5:22" x14ac:dyDescent="0.25"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</row>
    <row r="792" spans="5:22" x14ac:dyDescent="0.25"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</row>
    <row r="793" spans="5:22" x14ac:dyDescent="0.25"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</row>
    <row r="794" spans="5:22" x14ac:dyDescent="0.25"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</row>
    <row r="795" spans="5:22" x14ac:dyDescent="0.25"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</row>
    <row r="796" spans="5:22" x14ac:dyDescent="0.25"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</row>
    <row r="797" spans="5:22" x14ac:dyDescent="0.25"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</row>
    <row r="798" spans="5:22" x14ac:dyDescent="0.25"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</row>
    <row r="799" spans="5:22" x14ac:dyDescent="0.25"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</row>
    <row r="800" spans="5:22" x14ac:dyDescent="0.25"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</row>
    <row r="801" spans="5:22" x14ac:dyDescent="0.25"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</row>
    <row r="802" spans="5:22" x14ac:dyDescent="0.25"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</row>
    <row r="803" spans="5:22" x14ac:dyDescent="0.25"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</row>
    <row r="804" spans="5:22" x14ac:dyDescent="0.25"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</row>
    <row r="805" spans="5:22" x14ac:dyDescent="0.25"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</row>
    <row r="806" spans="5:22" x14ac:dyDescent="0.25"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</row>
    <row r="807" spans="5:22" x14ac:dyDescent="0.25"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</row>
    <row r="808" spans="5:22" x14ac:dyDescent="0.25"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</row>
    <row r="809" spans="5:22" x14ac:dyDescent="0.25"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5:22" x14ac:dyDescent="0.25"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</row>
    <row r="811" spans="5:22" x14ac:dyDescent="0.25"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</row>
    <row r="812" spans="5:22" x14ac:dyDescent="0.25"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</row>
    <row r="813" spans="5:22" x14ac:dyDescent="0.25"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</row>
    <row r="814" spans="5:22" x14ac:dyDescent="0.25"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</row>
    <row r="815" spans="5:22" x14ac:dyDescent="0.25"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</row>
    <row r="816" spans="5:22" x14ac:dyDescent="0.25"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</row>
    <row r="817" spans="5:22" x14ac:dyDescent="0.25"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</row>
    <row r="818" spans="5:22" x14ac:dyDescent="0.25"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</row>
    <row r="819" spans="5:22" x14ac:dyDescent="0.25"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</row>
    <row r="820" spans="5:22" x14ac:dyDescent="0.25"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</row>
    <row r="821" spans="5:22" x14ac:dyDescent="0.25"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</row>
    <row r="822" spans="5:22" x14ac:dyDescent="0.25"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</row>
    <row r="823" spans="5:22" x14ac:dyDescent="0.25"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</row>
    <row r="824" spans="5:22" x14ac:dyDescent="0.25"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</row>
    <row r="825" spans="5:22" x14ac:dyDescent="0.25"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</row>
    <row r="826" spans="5:22" x14ac:dyDescent="0.25"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</row>
    <row r="827" spans="5:22" x14ac:dyDescent="0.25"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</row>
    <row r="828" spans="5:22" x14ac:dyDescent="0.25"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</row>
    <row r="829" spans="5:22" x14ac:dyDescent="0.25"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</row>
    <row r="830" spans="5:22" x14ac:dyDescent="0.25"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</row>
    <row r="831" spans="5:22" x14ac:dyDescent="0.25"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</row>
    <row r="832" spans="5:22" x14ac:dyDescent="0.25"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</row>
    <row r="833" spans="5:22" x14ac:dyDescent="0.25"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</row>
    <row r="834" spans="5:22" x14ac:dyDescent="0.25"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</row>
    <row r="835" spans="5:22" x14ac:dyDescent="0.25"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</row>
    <row r="836" spans="5:22" x14ac:dyDescent="0.25"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</row>
    <row r="837" spans="5:22" x14ac:dyDescent="0.25"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</row>
    <row r="838" spans="5:22" x14ac:dyDescent="0.25"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</row>
    <row r="839" spans="5:22" x14ac:dyDescent="0.25"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</row>
    <row r="840" spans="5:22" x14ac:dyDescent="0.25"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</row>
    <row r="841" spans="5:22" x14ac:dyDescent="0.25"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</row>
    <row r="842" spans="5:22" x14ac:dyDescent="0.25"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</row>
    <row r="843" spans="5:22" x14ac:dyDescent="0.25"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</row>
    <row r="844" spans="5:22" x14ac:dyDescent="0.25"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</row>
    <row r="845" spans="5:22" x14ac:dyDescent="0.25"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</row>
    <row r="846" spans="5:22" x14ac:dyDescent="0.25"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</row>
    <row r="847" spans="5:22" x14ac:dyDescent="0.25"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</row>
    <row r="848" spans="5:22" x14ac:dyDescent="0.25"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</row>
    <row r="849" spans="5:22" x14ac:dyDescent="0.25"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</row>
    <row r="850" spans="5:22" x14ac:dyDescent="0.25"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</row>
    <row r="851" spans="5:22" x14ac:dyDescent="0.25"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</row>
    <row r="852" spans="5:22" x14ac:dyDescent="0.25"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</row>
    <row r="853" spans="5:22" x14ac:dyDescent="0.25"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</row>
    <row r="854" spans="5:22" x14ac:dyDescent="0.25"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</row>
    <row r="855" spans="5:22" x14ac:dyDescent="0.25"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</row>
    <row r="856" spans="5:22" x14ac:dyDescent="0.25"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</row>
    <row r="857" spans="5:22" x14ac:dyDescent="0.25"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</row>
    <row r="858" spans="5:22" x14ac:dyDescent="0.25"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</row>
    <row r="859" spans="5:22" x14ac:dyDescent="0.25"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</row>
    <row r="860" spans="5:22" x14ac:dyDescent="0.25"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</row>
    <row r="861" spans="5:22" x14ac:dyDescent="0.25"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</row>
    <row r="862" spans="5:22" x14ac:dyDescent="0.25"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</row>
    <row r="863" spans="5:22" x14ac:dyDescent="0.25"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</row>
    <row r="864" spans="5:22" x14ac:dyDescent="0.25"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</row>
    <row r="865" spans="5:22" x14ac:dyDescent="0.25"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</row>
    <row r="866" spans="5:22" x14ac:dyDescent="0.25"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</row>
    <row r="867" spans="5:22" x14ac:dyDescent="0.25"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</row>
    <row r="868" spans="5:22" x14ac:dyDescent="0.25"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</row>
    <row r="869" spans="5:22" x14ac:dyDescent="0.25"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</row>
    <row r="870" spans="5:22" x14ac:dyDescent="0.25"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</row>
    <row r="871" spans="5:22" x14ac:dyDescent="0.25"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</row>
    <row r="872" spans="5:22" x14ac:dyDescent="0.25"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</row>
    <row r="873" spans="5:22" x14ac:dyDescent="0.25"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</row>
    <row r="874" spans="5:22" x14ac:dyDescent="0.25"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</row>
    <row r="875" spans="5:22" x14ac:dyDescent="0.25"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</row>
    <row r="876" spans="5:22" x14ac:dyDescent="0.25"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</row>
    <row r="877" spans="5:22" x14ac:dyDescent="0.25"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</row>
    <row r="878" spans="5:22" x14ac:dyDescent="0.25"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</row>
    <row r="879" spans="5:22" x14ac:dyDescent="0.25"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</row>
    <row r="880" spans="5:22" x14ac:dyDescent="0.25"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</row>
    <row r="881" spans="5:22" x14ac:dyDescent="0.25"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</row>
    <row r="882" spans="5:22" x14ac:dyDescent="0.25"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</row>
    <row r="883" spans="5:22" x14ac:dyDescent="0.25"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</row>
    <row r="884" spans="5:22" x14ac:dyDescent="0.25"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</row>
    <row r="885" spans="5:22" x14ac:dyDescent="0.25"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</row>
    <row r="886" spans="5:22" x14ac:dyDescent="0.25"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</row>
    <row r="887" spans="5:22" x14ac:dyDescent="0.25"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</row>
    <row r="888" spans="5:22" x14ac:dyDescent="0.25"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</row>
    <row r="889" spans="5:22" x14ac:dyDescent="0.25"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</row>
    <row r="890" spans="5:22" x14ac:dyDescent="0.25"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</row>
    <row r="891" spans="5:22" x14ac:dyDescent="0.25"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</row>
    <row r="892" spans="5:22" x14ac:dyDescent="0.25"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</row>
    <row r="893" spans="5:22" x14ac:dyDescent="0.25"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</row>
    <row r="894" spans="5:22" x14ac:dyDescent="0.25"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</row>
    <row r="895" spans="5:22" x14ac:dyDescent="0.25"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</row>
    <row r="896" spans="5:22" x14ac:dyDescent="0.25"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</row>
    <row r="897" spans="5:22" x14ac:dyDescent="0.25"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</row>
    <row r="898" spans="5:22" x14ac:dyDescent="0.25"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</row>
    <row r="899" spans="5:22" x14ac:dyDescent="0.25"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</row>
    <row r="900" spans="5:22" x14ac:dyDescent="0.25"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</row>
    <row r="901" spans="5:22" x14ac:dyDescent="0.25"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</row>
    <row r="902" spans="5:22" x14ac:dyDescent="0.25"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</row>
    <row r="903" spans="5:22" x14ac:dyDescent="0.25"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</row>
    <row r="904" spans="5:22" x14ac:dyDescent="0.25"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</row>
    <row r="905" spans="5:22" x14ac:dyDescent="0.25"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</row>
    <row r="906" spans="5:22" x14ac:dyDescent="0.25"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</row>
    <row r="907" spans="5:22" x14ac:dyDescent="0.25"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</row>
    <row r="908" spans="5:22" x14ac:dyDescent="0.25"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</row>
    <row r="909" spans="5:22" x14ac:dyDescent="0.25"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</row>
    <row r="910" spans="5:22" x14ac:dyDescent="0.25"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</row>
    <row r="911" spans="5:22" x14ac:dyDescent="0.25"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</row>
    <row r="912" spans="5:22" x14ac:dyDescent="0.25"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</row>
    <row r="913" spans="5:22" x14ac:dyDescent="0.25"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</row>
    <row r="914" spans="5:22" x14ac:dyDescent="0.25"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</row>
    <row r="915" spans="5:22" x14ac:dyDescent="0.25"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</row>
    <row r="916" spans="5:22" x14ac:dyDescent="0.25"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</row>
    <row r="917" spans="5:22" x14ac:dyDescent="0.25"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</row>
    <row r="918" spans="5:22" x14ac:dyDescent="0.25"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</row>
    <row r="919" spans="5:22" x14ac:dyDescent="0.25"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</row>
    <row r="920" spans="5:22" x14ac:dyDescent="0.25"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</row>
    <row r="921" spans="5:22" x14ac:dyDescent="0.25"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</row>
    <row r="922" spans="5:22" x14ac:dyDescent="0.25"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</row>
    <row r="923" spans="5:22" x14ac:dyDescent="0.25"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</row>
    <row r="924" spans="5:22" x14ac:dyDescent="0.25"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</row>
    <row r="925" spans="5:22" x14ac:dyDescent="0.25"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</row>
    <row r="926" spans="5:22" x14ac:dyDescent="0.25"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</row>
    <row r="927" spans="5:22" x14ac:dyDescent="0.25"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</row>
    <row r="928" spans="5:22" x14ac:dyDescent="0.25"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</row>
    <row r="929" spans="5:22" x14ac:dyDescent="0.25"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</row>
    <row r="930" spans="5:22" x14ac:dyDescent="0.25"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</row>
    <row r="931" spans="5:22" x14ac:dyDescent="0.25"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</row>
    <row r="932" spans="5:22" x14ac:dyDescent="0.25"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</row>
    <row r="933" spans="5:22" x14ac:dyDescent="0.25"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</row>
    <row r="934" spans="5:22" x14ac:dyDescent="0.25"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</row>
    <row r="935" spans="5:22" x14ac:dyDescent="0.25"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</row>
    <row r="936" spans="5:22" x14ac:dyDescent="0.25"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</row>
    <row r="937" spans="5:22" x14ac:dyDescent="0.25"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</row>
    <row r="938" spans="5:22" x14ac:dyDescent="0.25"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</row>
    <row r="939" spans="5:22" x14ac:dyDescent="0.25"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</row>
    <row r="940" spans="5:22" x14ac:dyDescent="0.25"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</row>
    <row r="941" spans="5:22" x14ac:dyDescent="0.25"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</row>
    <row r="942" spans="5:22" x14ac:dyDescent="0.25"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</row>
    <row r="943" spans="5:22" x14ac:dyDescent="0.25"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</row>
    <row r="944" spans="5:22" x14ac:dyDescent="0.25"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</row>
    <row r="945" spans="5:22" x14ac:dyDescent="0.25"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</row>
    <row r="946" spans="5:22" x14ac:dyDescent="0.25"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</row>
    <row r="947" spans="5:22" x14ac:dyDescent="0.25"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</row>
    <row r="948" spans="5:22" x14ac:dyDescent="0.25"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</row>
    <row r="949" spans="5:22" x14ac:dyDescent="0.25"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</row>
    <row r="950" spans="5:22" x14ac:dyDescent="0.25"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</row>
    <row r="951" spans="5:22" x14ac:dyDescent="0.25"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</row>
    <row r="952" spans="5:22" x14ac:dyDescent="0.25"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</row>
    <row r="953" spans="5:22" x14ac:dyDescent="0.25"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</row>
    <row r="954" spans="5:22" x14ac:dyDescent="0.25"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</row>
    <row r="955" spans="5:22" x14ac:dyDescent="0.25"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</row>
    <row r="956" spans="5:22" x14ac:dyDescent="0.25"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</row>
    <row r="957" spans="5:22" x14ac:dyDescent="0.25"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</row>
    <row r="958" spans="5:22" x14ac:dyDescent="0.25"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</row>
    <row r="959" spans="5:22" x14ac:dyDescent="0.25"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</row>
    <row r="960" spans="5:22" x14ac:dyDescent="0.25"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</row>
    <row r="961" spans="5:22" x14ac:dyDescent="0.25"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</row>
    <row r="962" spans="5:22" x14ac:dyDescent="0.25"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</row>
    <row r="963" spans="5:22" x14ac:dyDescent="0.25"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</row>
    <row r="964" spans="5:22" x14ac:dyDescent="0.25"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</row>
    <row r="965" spans="5:22" x14ac:dyDescent="0.25"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</row>
    <row r="966" spans="5:22" x14ac:dyDescent="0.25"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</row>
    <row r="967" spans="5:22" x14ac:dyDescent="0.25"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</row>
    <row r="968" spans="5:22" x14ac:dyDescent="0.25"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</row>
    <row r="969" spans="5:22" x14ac:dyDescent="0.25"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</row>
    <row r="970" spans="5:22" x14ac:dyDescent="0.25"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</row>
    <row r="971" spans="5:22" x14ac:dyDescent="0.25"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</row>
    <row r="972" spans="5:22" x14ac:dyDescent="0.25"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</row>
    <row r="973" spans="5:22" x14ac:dyDescent="0.25"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</row>
    <row r="974" spans="5:22" x14ac:dyDescent="0.25"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</row>
    <row r="975" spans="5:22" x14ac:dyDescent="0.25"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</row>
    <row r="976" spans="5:22" x14ac:dyDescent="0.25"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</row>
    <row r="977" spans="5:22" x14ac:dyDescent="0.25"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</row>
    <row r="978" spans="5:22" x14ac:dyDescent="0.25"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</row>
    <row r="979" spans="5:22" x14ac:dyDescent="0.25"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</row>
    <row r="980" spans="5:22" x14ac:dyDescent="0.25"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</row>
    <row r="981" spans="5:22" x14ac:dyDescent="0.25"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</row>
    <row r="982" spans="5:22" x14ac:dyDescent="0.25"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</row>
    <row r="983" spans="5:22" x14ac:dyDescent="0.25"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</row>
    <row r="984" spans="5:22" x14ac:dyDescent="0.25"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</row>
    <row r="985" spans="5:22" x14ac:dyDescent="0.25"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</row>
    <row r="986" spans="5:22" x14ac:dyDescent="0.25"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</row>
    <row r="987" spans="5:22" x14ac:dyDescent="0.25"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</row>
    <row r="988" spans="5:22" x14ac:dyDescent="0.25"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</row>
    <row r="989" spans="5:22" x14ac:dyDescent="0.25"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</row>
    <row r="990" spans="5:22" x14ac:dyDescent="0.25"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</row>
    <row r="991" spans="5:22" x14ac:dyDescent="0.25"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</row>
    <row r="992" spans="5:22" x14ac:dyDescent="0.25"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</row>
    <row r="993" spans="5:22" x14ac:dyDescent="0.25"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</row>
    <row r="994" spans="5:22" x14ac:dyDescent="0.25"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</row>
    <row r="995" spans="5:22" x14ac:dyDescent="0.25"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</row>
    <row r="996" spans="5:22" x14ac:dyDescent="0.25"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</row>
    <row r="997" spans="5:22" x14ac:dyDescent="0.25"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</row>
    <row r="998" spans="5:22" x14ac:dyDescent="0.25"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</row>
    <row r="999" spans="5:22" x14ac:dyDescent="0.25"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</row>
    <row r="1000" spans="5:22" x14ac:dyDescent="0.25"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</row>
    <row r="1001" spans="5:22" x14ac:dyDescent="0.25"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</row>
    <row r="1002" spans="5:22" x14ac:dyDescent="0.25"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</row>
    <row r="1003" spans="5:22" x14ac:dyDescent="0.25"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</row>
    <row r="1004" spans="5:22" x14ac:dyDescent="0.25"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</row>
    <row r="1005" spans="5:22" x14ac:dyDescent="0.25"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</row>
    <row r="1006" spans="5:22" x14ac:dyDescent="0.25"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</row>
    <row r="1007" spans="5:22" x14ac:dyDescent="0.25"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</row>
    <row r="1008" spans="5:22" x14ac:dyDescent="0.25"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</row>
    <row r="1009" spans="5:22" x14ac:dyDescent="0.25"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</row>
    <row r="1010" spans="5:22" x14ac:dyDescent="0.25"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</row>
    <row r="1011" spans="5:22" x14ac:dyDescent="0.25"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</row>
    <row r="1012" spans="5:22" x14ac:dyDescent="0.25"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</row>
    <row r="1013" spans="5:22" x14ac:dyDescent="0.25"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</row>
    <row r="1014" spans="5:22" x14ac:dyDescent="0.25"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</row>
    <row r="1015" spans="5:22" x14ac:dyDescent="0.25"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</row>
    <row r="1016" spans="5:22" x14ac:dyDescent="0.25"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</row>
    <row r="1017" spans="5:22" x14ac:dyDescent="0.25"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</row>
    <row r="1018" spans="5:22" x14ac:dyDescent="0.25"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</row>
    <row r="1019" spans="5:22" x14ac:dyDescent="0.25"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5:22" x14ac:dyDescent="0.25"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</row>
    <row r="1021" spans="5:22" x14ac:dyDescent="0.25"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</row>
    <row r="1022" spans="5:22" x14ac:dyDescent="0.25"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</row>
    <row r="1023" spans="5:22" x14ac:dyDescent="0.25"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</row>
    <row r="1024" spans="5:22" x14ac:dyDescent="0.25"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5:22" x14ac:dyDescent="0.25"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</row>
    <row r="1026" spans="5:22" x14ac:dyDescent="0.25"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</row>
    <row r="1027" spans="5:22" x14ac:dyDescent="0.25"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</row>
    <row r="1028" spans="5:22" x14ac:dyDescent="0.25"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</row>
    <row r="1029" spans="5:22" x14ac:dyDescent="0.25"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</row>
    <row r="1030" spans="5:22" x14ac:dyDescent="0.25"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</row>
    <row r="1031" spans="5:22" x14ac:dyDescent="0.25"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</row>
    <row r="1032" spans="5:22" x14ac:dyDescent="0.25"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</row>
    <row r="1033" spans="5:22" x14ac:dyDescent="0.25"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</row>
    <row r="1034" spans="5:22" x14ac:dyDescent="0.25"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</row>
    <row r="1035" spans="5:22" x14ac:dyDescent="0.25"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</row>
    <row r="1036" spans="5:22" x14ac:dyDescent="0.25"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</row>
    <row r="1037" spans="5:22" x14ac:dyDescent="0.25"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</row>
    <row r="1038" spans="5:22" x14ac:dyDescent="0.25"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</row>
    <row r="1039" spans="5:22" x14ac:dyDescent="0.25"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</row>
    <row r="1040" spans="5:22" x14ac:dyDescent="0.25"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</row>
    <row r="1041" spans="5:22" x14ac:dyDescent="0.25"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</row>
    <row r="1042" spans="5:22" x14ac:dyDescent="0.25"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</row>
    <row r="1043" spans="5:22" x14ac:dyDescent="0.25"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</row>
    <row r="1044" spans="5:22" x14ac:dyDescent="0.25"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</row>
    <row r="1045" spans="5:22" x14ac:dyDescent="0.25"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</row>
    <row r="1046" spans="5:22" x14ac:dyDescent="0.25"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</row>
    <row r="1047" spans="5:22" x14ac:dyDescent="0.25"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</row>
    <row r="1048" spans="5:22" x14ac:dyDescent="0.25"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</row>
    <row r="1049" spans="5:22" x14ac:dyDescent="0.25"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</row>
    <row r="1050" spans="5:22" x14ac:dyDescent="0.25"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</row>
    <row r="1051" spans="5:22" x14ac:dyDescent="0.25"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</row>
    <row r="1052" spans="5:22" x14ac:dyDescent="0.25"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</row>
    <row r="1053" spans="5:22" x14ac:dyDescent="0.25"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</row>
    <row r="1054" spans="5:22" x14ac:dyDescent="0.25"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</row>
    <row r="1055" spans="5:22" x14ac:dyDescent="0.25"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</row>
    <row r="1056" spans="5:22" x14ac:dyDescent="0.25"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</row>
    <row r="1057" spans="5:22" x14ac:dyDescent="0.25"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</row>
    <row r="1058" spans="5:22" x14ac:dyDescent="0.25"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</row>
    <row r="1059" spans="5:22" x14ac:dyDescent="0.25"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</row>
    <row r="1060" spans="5:22" x14ac:dyDescent="0.25"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</row>
    <row r="1061" spans="5:22" x14ac:dyDescent="0.25"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</row>
    <row r="1062" spans="5:22" x14ac:dyDescent="0.25"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</row>
    <row r="1063" spans="5:22" x14ac:dyDescent="0.25"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</row>
    <row r="1064" spans="5:22" x14ac:dyDescent="0.25"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</row>
    <row r="1065" spans="5:22" x14ac:dyDescent="0.25"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</row>
    <row r="1066" spans="5:22" x14ac:dyDescent="0.25"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</row>
    <row r="1067" spans="5:22" x14ac:dyDescent="0.25"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</row>
    <row r="1068" spans="5:22" x14ac:dyDescent="0.25"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</row>
    <row r="1069" spans="5:22" x14ac:dyDescent="0.25"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</row>
    <row r="1070" spans="5:22" x14ac:dyDescent="0.25"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</row>
    <row r="1071" spans="5:22" x14ac:dyDescent="0.25"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</row>
    <row r="1072" spans="5:22" x14ac:dyDescent="0.25"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</row>
    <row r="1073" spans="5:22" x14ac:dyDescent="0.25"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</row>
    <row r="1074" spans="5:22" x14ac:dyDescent="0.25"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</row>
    <row r="1075" spans="5:22" x14ac:dyDescent="0.25"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</row>
    <row r="1076" spans="5:22" x14ac:dyDescent="0.25"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</row>
    <row r="1077" spans="5:22" x14ac:dyDescent="0.25"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5:22" x14ac:dyDescent="0.25"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</row>
    <row r="1079" spans="5:22" x14ac:dyDescent="0.25"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</row>
    <row r="1080" spans="5:22" x14ac:dyDescent="0.25"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</row>
    <row r="1081" spans="5:22" x14ac:dyDescent="0.25"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</row>
    <row r="1082" spans="5:22" x14ac:dyDescent="0.25"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</row>
    <row r="1083" spans="5:22" x14ac:dyDescent="0.25"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</row>
    <row r="1084" spans="5:22" x14ac:dyDescent="0.25"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</row>
    <row r="1085" spans="5:22" x14ac:dyDescent="0.25"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</row>
    <row r="1086" spans="5:22" x14ac:dyDescent="0.25"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</row>
    <row r="1087" spans="5:22" x14ac:dyDescent="0.25"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</row>
    <row r="1088" spans="5:22" x14ac:dyDescent="0.25"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</row>
    <row r="1089" spans="5:22" x14ac:dyDescent="0.25"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</row>
    <row r="1090" spans="5:22" x14ac:dyDescent="0.25"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</row>
    <row r="1091" spans="5:22" x14ac:dyDescent="0.25"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</row>
    <row r="1092" spans="5:22" x14ac:dyDescent="0.25"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</row>
    <row r="1093" spans="5:22" x14ac:dyDescent="0.25"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</row>
    <row r="1094" spans="5:22" x14ac:dyDescent="0.25"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</row>
    <row r="1095" spans="5:22" x14ac:dyDescent="0.25"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</row>
    <row r="1096" spans="5:22" x14ac:dyDescent="0.25"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</row>
    <row r="1097" spans="5:22" x14ac:dyDescent="0.25"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</row>
    <row r="1098" spans="5:22" x14ac:dyDescent="0.25"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</row>
    <row r="1099" spans="5:22" x14ac:dyDescent="0.25"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</row>
    <row r="1100" spans="5:22" x14ac:dyDescent="0.25"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</row>
    <row r="1101" spans="5:22" x14ac:dyDescent="0.25"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</row>
    <row r="1102" spans="5:22" x14ac:dyDescent="0.25"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</row>
    <row r="1103" spans="5:22" x14ac:dyDescent="0.25"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</row>
    <row r="1104" spans="5:22" x14ac:dyDescent="0.25"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</row>
    <row r="1105" spans="5:22" x14ac:dyDescent="0.25"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</row>
    <row r="1106" spans="5:22" x14ac:dyDescent="0.25"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</row>
    <row r="1107" spans="5:22" x14ac:dyDescent="0.25"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</row>
    <row r="1108" spans="5:22" x14ac:dyDescent="0.25"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</row>
    <row r="1109" spans="5:22" x14ac:dyDescent="0.25"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</row>
    <row r="1110" spans="5:22" x14ac:dyDescent="0.25"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</row>
    <row r="1111" spans="5:22" x14ac:dyDescent="0.25"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</row>
    <row r="1112" spans="5:22" x14ac:dyDescent="0.25"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</row>
    <row r="1113" spans="5:22" x14ac:dyDescent="0.25"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</row>
    <row r="1114" spans="5:22" x14ac:dyDescent="0.25"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</row>
    <row r="1115" spans="5:22" x14ac:dyDescent="0.25"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</row>
    <row r="1116" spans="5:22" x14ac:dyDescent="0.25"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</row>
    <row r="1117" spans="5:22" x14ac:dyDescent="0.25"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</row>
    <row r="1118" spans="5:22" x14ac:dyDescent="0.25"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</row>
    <row r="1119" spans="5:22" x14ac:dyDescent="0.25"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</row>
    <row r="1120" spans="5:22" x14ac:dyDescent="0.25"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</row>
    <row r="1121" spans="5:22" x14ac:dyDescent="0.25"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</row>
    <row r="1122" spans="5:22" x14ac:dyDescent="0.25"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</row>
    <row r="1123" spans="5:22" x14ac:dyDescent="0.25"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</row>
    <row r="1124" spans="5:22" x14ac:dyDescent="0.25"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</row>
    <row r="1125" spans="5:22" x14ac:dyDescent="0.25"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</row>
    <row r="1126" spans="5:22" x14ac:dyDescent="0.25"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</row>
    <row r="1127" spans="5:22" x14ac:dyDescent="0.25"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</row>
    <row r="1128" spans="5:22" x14ac:dyDescent="0.25"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</row>
    <row r="1129" spans="5:22" x14ac:dyDescent="0.25"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</row>
    <row r="1130" spans="5:22" x14ac:dyDescent="0.25"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</row>
    <row r="1131" spans="5:22" x14ac:dyDescent="0.25"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</row>
    <row r="1132" spans="5:22" x14ac:dyDescent="0.25"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</row>
    <row r="1133" spans="5:22" x14ac:dyDescent="0.25"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</row>
    <row r="1134" spans="5:22" x14ac:dyDescent="0.25"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</row>
    <row r="1135" spans="5:22" x14ac:dyDescent="0.25"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</row>
    <row r="1136" spans="5:22" x14ac:dyDescent="0.25"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5:22" x14ac:dyDescent="0.25"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</row>
    <row r="1138" spans="5:22" x14ac:dyDescent="0.25"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</row>
    <row r="1139" spans="5:22" x14ac:dyDescent="0.25"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</row>
    <row r="1140" spans="5:22" x14ac:dyDescent="0.25"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</row>
    <row r="1141" spans="5:22" x14ac:dyDescent="0.25"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</row>
    <row r="1142" spans="5:22" x14ac:dyDescent="0.25"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</row>
    <row r="1143" spans="5:22" x14ac:dyDescent="0.25"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</row>
    <row r="1144" spans="5:22" x14ac:dyDescent="0.25"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</row>
    <row r="1145" spans="5:22" x14ac:dyDescent="0.25"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</row>
    <row r="1146" spans="5:22" x14ac:dyDescent="0.25"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</row>
    <row r="1147" spans="5:22" x14ac:dyDescent="0.25"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</row>
    <row r="1148" spans="5:22" x14ac:dyDescent="0.25"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</row>
    <row r="1149" spans="5:22" x14ac:dyDescent="0.25"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</row>
    <row r="1150" spans="5:22" x14ac:dyDescent="0.25"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</row>
    <row r="1151" spans="5:22" x14ac:dyDescent="0.25"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</row>
    <row r="1152" spans="5:22" x14ac:dyDescent="0.25"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</row>
    <row r="1153" spans="5:22" x14ac:dyDescent="0.25"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</row>
    <row r="1154" spans="5:22" x14ac:dyDescent="0.25"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</row>
    <row r="1155" spans="5:22" x14ac:dyDescent="0.25"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</row>
    <row r="1156" spans="5:22" x14ac:dyDescent="0.25"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</row>
    <row r="1157" spans="5:22" x14ac:dyDescent="0.25"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</row>
    <row r="1158" spans="5:22" x14ac:dyDescent="0.25"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</row>
    <row r="1159" spans="5:22" x14ac:dyDescent="0.25"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</row>
    <row r="1160" spans="5:22" x14ac:dyDescent="0.25"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</row>
    <row r="1161" spans="5:22" x14ac:dyDescent="0.25"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</row>
    <row r="1162" spans="5:22" x14ac:dyDescent="0.25"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</row>
    <row r="1163" spans="5:22" x14ac:dyDescent="0.25"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</row>
    <row r="1164" spans="5:22" x14ac:dyDescent="0.25"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</row>
    <row r="1165" spans="5:22" x14ac:dyDescent="0.25"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</row>
    <row r="1166" spans="5:22" x14ac:dyDescent="0.25"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</row>
    <row r="1167" spans="5:22" x14ac:dyDescent="0.25"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</row>
    <row r="1168" spans="5:22" x14ac:dyDescent="0.25"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</row>
    <row r="1169" spans="5:22" x14ac:dyDescent="0.25"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</row>
    <row r="1170" spans="5:22" x14ac:dyDescent="0.25"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</row>
    <row r="1171" spans="5:22" x14ac:dyDescent="0.25"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</row>
    <row r="1172" spans="5:22" x14ac:dyDescent="0.25"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</row>
    <row r="1173" spans="5:22" x14ac:dyDescent="0.25"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</row>
    <row r="1174" spans="5:22" x14ac:dyDescent="0.25"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</row>
    <row r="1175" spans="5:22" x14ac:dyDescent="0.25"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</row>
    <row r="1176" spans="5:22" x14ac:dyDescent="0.25"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</row>
    <row r="1177" spans="5:22" x14ac:dyDescent="0.25"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</row>
    <row r="1178" spans="5:22" x14ac:dyDescent="0.25"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</row>
    <row r="1179" spans="5:22" x14ac:dyDescent="0.25"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</row>
    <row r="1180" spans="5:22" x14ac:dyDescent="0.25"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</row>
    <row r="1181" spans="5:22" x14ac:dyDescent="0.25"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</row>
    <row r="1182" spans="5:22" x14ac:dyDescent="0.25"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</row>
    <row r="1183" spans="5:22" x14ac:dyDescent="0.25"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</row>
    <row r="1184" spans="5:22" x14ac:dyDescent="0.25"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</row>
    <row r="1185" spans="5:22" x14ac:dyDescent="0.25"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</row>
    <row r="1186" spans="5:22" x14ac:dyDescent="0.25"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</row>
    <row r="1187" spans="5:22" x14ac:dyDescent="0.25"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</row>
    <row r="1188" spans="5:22" x14ac:dyDescent="0.25"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</row>
    <row r="1189" spans="5:22" x14ac:dyDescent="0.25"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</row>
    <row r="1190" spans="5:22" x14ac:dyDescent="0.25"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</row>
    <row r="1191" spans="5:22" x14ac:dyDescent="0.25"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</row>
    <row r="1192" spans="5:22" x14ac:dyDescent="0.25"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</row>
    <row r="1193" spans="5:22" x14ac:dyDescent="0.25"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</row>
    <row r="1194" spans="5:22" x14ac:dyDescent="0.25"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</row>
    <row r="1195" spans="5:22" x14ac:dyDescent="0.25"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</row>
    <row r="1196" spans="5:22" x14ac:dyDescent="0.25"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</row>
    <row r="1197" spans="5:22" x14ac:dyDescent="0.25"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</row>
    <row r="1198" spans="5:22" x14ac:dyDescent="0.25"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</row>
    <row r="1199" spans="5:22" x14ac:dyDescent="0.25"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</row>
    <row r="1200" spans="5:22" x14ac:dyDescent="0.25"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</row>
    <row r="1201" spans="5:22" x14ac:dyDescent="0.25"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</row>
    <row r="1202" spans="5:22" x14ac:dyDescent="0.25"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</row>
    <row r="1203" spans="5:22" x14ac:dyDescent="0.25"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</row>
    <row r="1204" spans="5:22" x14ac:dyDescent="0.25"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</row>
    <row r="1205" spans="5:22" x14ac:dyDescent="0.25"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</row>
    <row r="1206" spans="5:22" x14ac:dyDescent="0.25"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</row>
    <row r="1207" spans="5:22" x14ac:dyDescent="0.25"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</row>
    <row r="1208" spans="5:22" x14ac:dyDescent="0.25"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</row>
    <row r="1209" spans="5:22" x14ac:dyDescent="0.25"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</row>
    <row r="1210" spans="5:22" x14ac:dyDescent="0.25"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</row>
    <row r="1211" spans="5:22" x14ac:dyDescent="0.25"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</row>
    <row r="1212" spans="5:22" x14ac:dyDescent="0.25"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</row>
    <row r="1213" spans="5:22" x14ac:dyDescent="0.25"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</row>
    <row r="1214" spans="5:22" x14ac:dyDescent="0.25"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</row>
    <row r="1215" spans="5:22" x14ac:dyDescent="0.25"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</row>
    <row r="1216" spans="5:22" x14ac:dyDescent="0.25"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</row>
    <row r="1217" spans="5:22" x14ac:dyDescent="0.25"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</row>
    <row r="1218" spans="5:22" x14ac:dyDescent="0.25"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</row>
    <row r="1219" spans="5:22" x14ac:dyDescent="0.25"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</row>
    <row r="1220" spans="5:22" x14ac:dyDescent="0.25"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</row>
    <row r="1221" spans="5:22" x14ac:dyDescent="0.25"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</row>
    <row r="1222" spans="5:22" x14ac:dyDescent="0.25"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</row>
    <row r="1223" spans="5:22" x14ac:dyDescent="0.25"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</row>
    <row r="1224" spans="5:22" x14ac:dyDescent="0.25"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</row>
    <row r="1225" spans="5:22" x14ac:dyDescent="0.25"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</row>
    <row r="1226" spans="5:22" x14ac:dyDescent="0.25"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</row>
    <row r="1227" spans="5:22" x14ac:dyDescent="0.25"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</row>
    <row r="1228" spans="5:22" x14ac:dyDescent="0.25"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</row>
    <row r="1229" spans="5:22" x14ac:dyDescent="0.25"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</row>
    <row r="1230" spans="5:22" x14ac:dyDescent="0.25"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</row>
    <row r="1231" spans="5:22" x14ac:dyDescent="0.25"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</row>
    <row r="1232" spans="5:22" x14ac:dyDescent="0.25"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</row>
    <row r="1233" spans="5:22" x14ac:dyDescent="0.25"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</row>
    <row r="1234" spans="5:22" x14ac:dyDescent="0.25"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</row>
    <row r="1235" spans="5:22" x14ac:dyDescent="0.25"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</row>
    <row r="1236" spans="5:22" x14ac:dyDescent="0.25"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</row>
    <row r="1237" spans="5:22" x14ac:dyDescent="0.25"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</row>
    <row r="1238" spans="5:22" x14ac:dyDescent="0.25"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</row>
    <row r="1239" spans="5:22" x14ac:dyDescent="0.25"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</row>
    <row r="1240" spans="5:22" x14ac:dyDescent="0.25"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</row>
    <row r="1241" spans="5:22" x14ac:dyDescent="0.25"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</row>
    <row r="1242" spans="5:22" x14ac:dyDescent="0.25"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</row>
    <row r="1243" spans="5:22" x14ac:dyDescent="0.25"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</row>
    <row r="1244" spans="5:22" x14ac:dyDescent="0.25"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</row>
    <row r="1245" spans="5:22" x14ac:dyDescent="0.25"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</row>
    <row r="1246" spans="5:22" x14ac:dyDescent="0.25"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</row>
    <row r="1247" spans="5:22" x14ac:dyDescent="0.25"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</row>
    <row r="1248" spans="5:22" x14ac:dyDescent="0.25"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</row>
    <row r="1249" spans="5:22" x14ac:dyDescent="0.25"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</row>
    <row r="1250" spans="5:22" x14ac:dyDescent="0.25"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</row>
    <row r="1251" spans="5:22" x14ac:dyDescent="0.25"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</row>
    <row r="1252" spans="5:22" x14ac:dyDescent="0.25"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</row>
    <row r="1253" spans="5:22" x14ac:dyDescent="0.25"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</row>
    <row r="1254" spans="5:22" x14ac:dyDescent="0.25"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5:22" x14ac:dyDescent="0.25"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</row>
    <row r="1256" spans="5:22" x14ac:dyDescent="0.25"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</row>
    <row r="1257" spans="5:22" x14ac:dyDescent="0.25"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</row>
    <row r="1258" spans="5:22" x14ac:dyDescent="0.25"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</row>
    <row r="1259" spans="5:22" x14ac:dyDescent="0.25"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</row>
    <row r="1260" spans="5:22" x14ac:dyDescent="0.25"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</row>
    <row r="1261" spans="5:22" x14ac:dyDescent="0.25"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</row>
    <row r="1262" spans="5:22" x14ac:dyDescent="0.25"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</row>
    <row r="1263" spans="5:22" x14ac:dyDescent="0.25"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</row>
    <row r="1264" spans="5:22" x14ac:dyDescent="0.25"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</row>
    <row r="1265" spans="5:22" x14ac:dyDescent="0.25"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</row>
    <row r="1266" spans="5:22" x14ac:dyDescent="0.25"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</row>
    <row r="1267" spans="5:22" x14ac:dyDescent="0.25"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</row>
    <row r="1268" spans="5:22" x14ac:dyDescent="0.25"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</row>
    <row r="1269" spans="5:22" x14ac:dyDescent="0.25"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</row>
    <row r="1270" spans="5:22" x14ac:dyDescent="0.25"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</row>
    <row r="1271" spans="5:22" x14ac:dyDescent="0.25"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</row>
    <row r="1272" spans="5:22" x14ac:dyDescent="0.25"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</row>
    <row r="1273" spans="5:22" x14ac:dyDescent="0.25"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</row>
    <row r="1274" spans="5:22" x14ac:dyDescent="0.25"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</row>
    <row r="1275" spans="5:22" x14ac:dyDescent="0.25"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</row>
    <row r="1276" spans="5:22" x14ac:dyDescent="0.25"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</row>
    <row r="1277" spans="5:22" x14ac:dyDescent="0.25"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</row>
    <row r="1278" spans="5:22" x14ac:dyDescent="0.25"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</row>
    <row r="1279" spans="5:22" x14ac:dyDescent="0.25"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</row>
    <row r="1280" spans="5:22" x14ac:dyDescent="0.25"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</row>
    <row r="1281" spans="5:22" x14ac:dyDescent="0.25"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</row>
    <row r="1282" spans="5:22" x14ac:dyDescent="0.25"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5:22" x14ac:dyDescent="0.25"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</row>
    <row r="1284" spans="5:22" x14ac:dyDescent="0.25"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</row>
    <row r="1285" spans="5:22" x14ac:dyDescent="0.25"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</row>
    <row r="1286" spans="5:22" x14ac:dyDescent="0.25"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</row>
    <row r="1287" spans="5:22" x14ac:dyDescent="0.25"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</row>
    <row r="1288" spans="5:22" x14ac:dyDescent="0.25"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</row>
    <row r="1289" spans="5:22" x14ac:dyDescent="0.25"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</row>
    <row r="1290" spans="5:22" x14ac:dyDescent="0.25"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</row>
    <row r="1291" spans="5:22" x14ac:dyDescent="0.25"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</row>
    <row r="1292" spans="5:22" x14ac:dyDescent="0.25"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</row>
    <row r="1293" spans="5:22" x14ac:dyDescent="0.25"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</row>
    <row r="1294" spans="5:22" x14ac:dyDescent="0.25"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</row>
    <row r="1295" spans="5:22" x14ac:dyDescent="0.25"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</row>
    <row r="1296" spans="5:22" x14ac:dyDescent="0.25"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</row>
    <row r="1297" spans="5:22" x14ac:dyDescent="0.25"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</row>
    <row r="1298" spans="5:22" x14ac:dyDescent="0.25"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</row>
    <row r="1299" spans="5:22" x14ac:dyDescent="0.25"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</row>
    <row r="1300" spans="5:22" x14ac:dyDescent="0.25"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</row>
    <row r="1301" spans="5:22" x14ac:dyDescent="0.25"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</row>
    <row r="1302" spans="5:22" x14ac:dyDescent="0.25"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</row>
    <row r="1303" spans="5:22" x14ac:dyDescent="0.25"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</row>
    <row r="1304" spans="5:22" x14ac:dyDescent="0.25"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</row>
    <row r="1305" spans="5:22" x14ac:dyDescent="0.25"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</row>
    <row r="1306" spans="5:22" x14ac:dyDescent="0.25"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</row>
    <row r="1307" spans="5:22" x14ac:dyDescent="0.25"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</row>
    <row r="1308" spans="5:22" x14ac:dyDescent="0.25"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</row>
    <row r="1309" spans="5:22" x14ac:dyDescent="0.25"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</row>
    <row r="1310" spans="5:22" x14ac:dyDescent="0.25"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</row>
    <row r="1311" spans="5:22" x14ac:dyDescent="0.25"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</row>
    <row r="1312" spans="5:22" x14ac:dyDescent="0.25"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</row>
    <row r="1313" spans="5:22" x14ac:dyDescent="0.25"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</row>
    <row r="1314" spans="5:22" x14ac:dyDescent="0.25"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</row>
    <row r="1315" spans="5:22" x14ac:dyDescent="0.25"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</row>
    <row r="1316" spans="5:22" x14ac:dyDescent="0.25"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</row>
    <row r="1317" spans="5:22" x14ac:dyDescent="0.25"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</row>
    <row r="1318" spans="5:22" x14ac:dyDescent="0.25"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</row>
    <row r="1319" spans="5:22" x14ac:dyDescent="0.25"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</row>
    <row r="1320" spans="5:22" x14ac:dyDescent="0.25"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</row>
    <row r="1321" spans="5:22" x14ac:dyDescent="0.25"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</row>
    <row r="1322" spans="5:22" x14ac:dyDescent="0.25"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</row>
    <row r="1323" spans="5:22" x14ac:dyDescent="0.25"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</row>
    <row r="1324" spans="5:22" x14ac:dyDescent="0.25"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</row>
    <row r="1325" spans="5:22" x14ac:dyDescent="0.25"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</row>
    <row r="1326" spans="5:22" x14ac:dyDescent="0.25"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</row>
    <row r="1327" spans="5:22" x14ac:dyDescent="0.25"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</row>
    <row r="1328" spans="5:22" x14ac:dyDescent="0.25"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</row>
    <row r="1329" spans="5:22" x14ac:dyDescent="0.25"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</row>
    <row r="1330" spans="5:22" x14ac:dyDescent="0.25"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</row>
    <row r="1331" spans="5:22" x14ac:dyDescent="0.25"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</row>
    <row r="1332" spans="5:22" x14ac:dyDescent="0.25"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</row>
    <row r="1333" spans="5:22" x14ac:dyDescent="0.25"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</row>
    <row r="1334" spans="5:22" x14ac:dyDescent="0.25"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</row>
    <row r="1335" spans="5:22" x14ac:dyDescent="0.25"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</row>
    <row r="1336" spans="5:22" x14ac:dyDescent="0.25"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</row>
    <row r="1337" spans="5:22" x14ac:dyDescent="0.25"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</row>
    <row r="1338" spans="5:22" x14ac:dyDescent="0.25"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</row>
    <row r="1339" spans="5:22" x14ac:dyDescent="0.25"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</row>
    <row r="1340" spans="5:22" x14ac:dyDescent="0.25"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</row>
    <row r="1341" spans="5:22" x14ac:dyDescent="0.25"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</row>
    <row r="1342" spans="5:22" x14ac:dyDescent="0.25"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</row>
    <row r="1343" spans="5:22" x14ac:dyDescent="0.25"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</row>
    <row r="1344" spans="5:22" x14ac:dyDescent="0.25"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</row>
    <row r="1345" spans="5:22" x14ac:dyDescent="0.25"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</row>
    <row r="1346" spans="5:22" x14ac:dyDescent="0.25"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</row>
    <row r="1347" spans="5:22" x14ac:dyDescent="0.25"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</row>
    <row r="1348" spans="5:22" x14ac:dyDescent="0.25"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</row>
    <row r="1349" spans="5:22" x14ac:dyDescent="0.25"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</row>
    <row r="1350" spans="5:22" x14ac:dyDescent="0.25"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</row>
    <row r="1351" spans="5:22" x14ac:dyDescent="0.25"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</row>
    <row r="1352" spans="5:22" x14ac:dyDescent="0.25"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</row>
    <row r="1353" spans="5:22" x14ac:dyDescent="0.25"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</row>
    <row r="1354" spans="5:22" x14ac:dyDescent="0.25"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</row>
    <row r="1355" spans="5:22" x14ac:dyDescent="0.25"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</row>
    <row r="1356" spans="5:22" x14ac:dyDescent="0.25"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</row>
    <row r="1357" spans="5:22" x14ac:dyDescent="0.25"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</row>
    <row r="1358" spans="5:22" x14ac:dyDescent="0.25"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</row>
    <row r="1359" spans="5:22" x14ac:dyDescent="0.25"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</row>
    <row r="1360" spans="5:22" x14ac:dyDescent="0.25"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</row>
    <row r="1361" spans="5:22" x14ac:dyDescent="0.25"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</row>
    <row r="1362" spans="5:22" x14ac:dyDescent="0.25"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</row>
    <row r="1363" spans="5:22" x14ac:dyDescent="0.25"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</row>
    <row r="1364" spans="5:22" x14ac:dyDescent="0.25"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</row>
    <row r="1365" spans="5:22" x14ac:dyDescent="0.25"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</row>
    <row r="1366" spans="5:22" x14ac:dyDescent="0.25"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</row>
    <row r="1367" spans="5:22" x14ac:dyDescent="0.25"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</row>
    <row r="1368" spans="5:22" x14ac:dyDescent="0.25"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</row>
    <row r="1369" spans="5:22" x14ac:dyDescent="0.25"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</row>
    <row r="1370" spans="5:22" x14ac:dyDescent="0.25"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</row>
    <row r="1371" spans="5:22" x14ac:dyDescent="0.25"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</row>
    <row r="1372" spans="5:22" x14ac:dyDescent="0.25"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</row>
    <row r="1373" spans="5:22" x14ac:dyDescent="0.25"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</row>
    <row r="1374" spans="5:22" x14ac:dyDescent="0.25"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</row>
    <row r="1375" spans="5:22" x14ac:dyDescent="0.25"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</row>
    <row r="1376" spans="5:22" x14ac:dyDescent="0.25"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</row>
    <row r="1377" spans="5:22" x14ac:dyDescent="0.25"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</row>
    <row r="1378" spans="5:22" x14ac:dyDescent="0.25"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</row>
    <row r="1379" spans="5:22" x14ac:dyDescent="0.25"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</row>
    <row r="1380" spans="5:22" x14ac:dyDescent="0.25"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</row>
    <row r="1381" spans="5:22" x14ac:dyDescent="0.25"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</row>
    <row r="1382" spans="5:22" x14ac:dyDescent="0.25"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</row>
    <row r="1383" spans="5:22" x14ac:dyDescent="0.25"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5:22" x14ac:dyDescent="0.25"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</row>
    <row r="1385" spans="5:22" x14ac:dyDescent="0.25"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</row>
    <row r="1386" spans="5:22" x14ac:dyDescent="0.25"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</row>
    <row r="1387" spans="5:22" x14ac:dyDescent="0.25"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</row>
    <row r="1388" spans="5:22" x14ac:dyDescent="0.25"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</row>
    <row r="1389" spans="5:22" x14ac:dyDescent="0.25"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</row>
    <row r="1390" spans="5:22" x14ac:dyDescent="0.25"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</row>
    <row r="1391" spans="5:22" x14ac:dyDescent="0.25"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</row>
    <row r="1392" spans="5:22" x14ac:dyDescent="0.25"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</row>
    <row r="1393" spans="5:22" x14ac:dyDescent="0.25"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</row>
    <row r="1394" spans="5:22" x14ac:dyDescent="0.25"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</row>
    <row r="1395" spans="5:22" x14ac:dyDescent="0.25"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</row>
    <row r="1396" spans="5:22" x14ac:dyDescent="0.25"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</row>
    <row r="1397" spans="5:22" x14ac:dyDescent="0.25"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</row>
    <row r="1398" spans="5:22" x14ac:dyDescent="0.25"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</row>
    <row r="1399" spans="5:22" x14ac:dyDescent="0.25"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</row>
    <row r="1400" spans="5:22" x14ac:dyDescent="0.25"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</row>
    <row r="1401" spans="5:22" x14ac:dyDescent="0.25"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</row>
    <row r="1402" spans="5:22" x14ac:dyDescent="0.25"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</row>
    <row r="1403" spans="5:22" x14ac:dyDescent="0.25"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</row>
    <row r="1404" spans="5:22" x14ac:dyDescent="0.25"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</row>
    <row r="1405" spans="5:22" x14ac:dyDescent="0.25"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</row>
    <row r="1406" spans="5:22" x14ac:dyDescent="0.25"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</row>
    <row r="1407" spans="5:22" x14ac:dyDescent="0.25"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</row>
    <row r="1408" spans="5:22" x14ac:dyDescent="0.25"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</row>
    <row r="1409" spans="5:22" x14ac:dyDescent="0.25"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</row>
    <row r="1410" spans="5:22" x14ac:dyDescent="0.25"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</row>
    <row r="1411" spans="5:22" x14ac:dyDescent="0.25"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</row>
    <row r="1412" spans="5:22" x14ac:dyDescent="0.25"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</row>
    <row r="1413" spans="5:22" x14ac:dyDescent="0.25"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</row>
    <row r="1414" spans="5:22" x14ac:dyDescent="0.25"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</row>
    <row r="1415" spans="5:22" x14ac:dyDescent="0.25"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</row>
    <row r="1416" spans="5:22" x14ac:dyDescent="0.25"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</row>
    <row r="1417" spans="5:22" x14ac:dyDescent="0.25"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</row>
    <row r="1418" spans="5:22" x14ac:dyDescent="0.25"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</row>
    <row r="1419" spans="5:22" x14ac:dyDescent="0.25"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</row>
    <row r="1420" spans="5:22" x14ac:dyDescent="0.25"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</row>
    <row r="1421" spans="5:22" x14ac:dyDescent="0.25"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</row>
    <row r="1422" spans="5:22" x14ac:dyDescent="0.25"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</row>
    <row r="1423" spans="5:22" x14ac:dyDescent="0.25"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</row>
    <row r="1424" spans="5:22" x14ac:dyDescent="0.25"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</row>
    <row r="1425" spans="5:22" x14ac:dyDescent="0.25"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</row>
    <row r="1426" spans="5:22" x14ac:dyDescent="0.25"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</row>
    <row r="1427" spans="5:22" x14ac:dyDescent="0.25"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</row>
    <row r="1428" spans="5:22" x14ac:dyDescent="0.25"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</row>
    <row r="1429" spans="5:22" x14ac:dyDescent="0.25"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</row>
    <row r="1430" spans="5:22" x14ac:dyDescent="0.25"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</row>
    <row r="1431" spans="5:22" x14ac:dyDescent="0.25"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</row>
    <row r="1432" spans="5:22" x14ac:dyDescent="0.25"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</row>
    <row r="1433" spans="5:22" x14ac:dyDescent="0.25"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</row>
    <row r="1434" spans="5:22" x14ac:dyDescent="0.25"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</row>
    <row r="1435" spans="5:22" x14ac:dyDescent="0.25"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</row>
    <row r="1436" spans="5:22" x14ac:dyDescent="0.25"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</row>
    <row r="1437" spans="5:22" x14ac:dyDescent="0.25"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</row>
    <row r="1438" spans="5:22" x14ac:dyDescent="0.25"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</row>
    <row r="1439" spans="5:22" x14ac:dyDescent="0.25"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</row>
    <row r="1440" spans="5:22" x14ac:dyDescent="0.25"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</row>
    <row r="1441" spans="5:22" x14ac:dyDescent="0.25"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</row>
    <row r="1442" spans="5:22" x14ac:dyDescent="0.25"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</row>
    <row r="1443" spans="5:22" x14ac:dyDescent="0.25"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</row>
    <row r="1444" spans="5:22" x14ac:dyDescent="0.25"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</row>
    <row r="1445" spans="5:22" x14ac:dyDescent="0.25"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</row>
    <row r="1446" spans="5:22" x14ac:dyDescent="0.25"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</row>
    <row r="1447" spans="5:22" x14ac:dyDescent="0.25"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</row>
    <row r="1448" spans="5:22" x14ac:dyDescent="0.25"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</row>
    <row r="1449" spans="5:22" x14ac:dyDescent="0.25"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</row>
    <row r="1450" spans="5:22" x14ac:dyDescent="0.25"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</row>
    <row r="1451" spans="5:22" x14ac:dyDescent="0.25"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</row>
    <row r="1452" spans="5:22" x14ac:dyDescent="0.25"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</row>
    <row r="1453" spans="5:22" x14ac:dyDescent="0.25"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</row>
    <row r="1454" spans="5:22" x14ac:dyDescent="0.25"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</row>
    <row r="1455" spans="5:22" x14ac:dyDescent="0.25"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</row>
    <row r="1456" spans="5:22" x14ac:dyDescent="0.25"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</row>
    <row r="1457" spans="5:22" x14ac:dyDescent="0.25"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</row>
    <row r="1458" spans="5:22" x14ac:dyDescent="0.25"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</row>
    <row r="1459" spans="5:22" x14ac:dyDescent="0.25"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</row>
    <row r="1460" spans="5:22" x14ac:dyDescent="0.25"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</row>
    <row r="1461" spans="5:22" x14ac:dyDescent="0.25"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</row>
    <row r="1462" spans="5:22" x14ac:dyDescent="0.25"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</row>
    <row r="1463" spans="5:22" x14ac:dyDescent="0.25"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</row>
    <row r="1464" spans="5:22" x14ac:dyDescent="0.25"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</row>
    <row r="1465" spans="5:22" x14ac:dyDescent="0.25"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</row>
    <row r="1466" spans="5:22" x14ac:dyDescent="0.25"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</row>
    <row r="1467" spans="5:22" x14ac:dyDescent="0.25"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</row>
    <row r="1468" spans="5:22" x14ac:dyDescent="0.25"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</row>
    <row r="1469" spans="5:22" x14ac:dyDescent="0.25"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</row>
    <row r="1470" spans="5:22" x14ac:dyDescent="0.25"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</row>
    <row r="1471" spans="5:22" x14ac:dyDescent="0.25"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</row>
    <row r="1472" spans="5:22" x14ac:dyDescent="0.25"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</row>
    <row r="1473" spans="5:22" x14ac:dyDescent="0.25"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</row>
    <row r="1474" spans="5:22" x14ac:dyDescent="0.25"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</row>
    <row r="1475" spans="5:22" x14ac:dyDescent="0.25"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</row>
    <row r="1476" spans="5:22" x14ac:dyDescent="0.25"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</row>
    <row r="1477" spans="5:22" x14ac:dyDescent="0.25"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</row>
    <row r="1478" spans="5:22" x14ac:dyDescent="0.25"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</row>
    <row r="1479" spans="5:22" x14ac:dyDescent="0.25"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</row>
    <row r="1480" spans="5:22" x14ac:dyDescent="0.25"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</row>
    <row r="1481" spans="5:22" x14ac:dyDescent="0.25"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</row>
    <row r="1482" spans="5:22" x14ac:dyDescent="0.25"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</row>
    <row r="1483" spans="5:22" x14ac:dyDescent="0.25"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</row>
    <row r="1484" spans="5:22" x14ac:dyDescent="0.25"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</row>
    <row r="1485" spans="5:22" x14ac:dyDescent="0.25"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</row>
    <row r="1486" spans="5:22" x14ac:dyDescent="0.25"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</row>
    <row r="1487" spans="5:22" x14ac:dyDescent="0.25"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</row>
    <row r="1488" spans="5:22" x14ac:dyDescent="0.25"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</row>
    <row r="1489" spans="5:22" x14ac:dyDescent="0.25"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</row>
    <row r="1490" spans="5:22" x14ac:dyDescent="0.25"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</row>
    <row r="1491" spans="5:22" x14ac:dyDescent="0.25"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</row>
    <row r="1492" spans="5:22" x14ac:dyDescent="0.25"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</row>
    <row r="1493" spans="5:22" x14ac:dyDescent="0.25"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</row>
    <row r="1494" spans="5:22" x14ac:dyDescent="0.25"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</row>
    <row r="1495" spans="5:22" x14ac:dyDescent="0.25"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</row>
    <row r="1496" spans="5:22" x14ac:dyDescent="0.25"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</row>
    <row r="1497" spans="5:22" x14ac:dyDescent="0.25"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</row>
    <row r="1498" spans="5:22" x14ac:dyDescent="0.25"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</row>
    <row r="1499" spans="5:22" x14ac:dyDescent="0.25"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</row>
    <row r="1500" spans="5:22" x14ac:dyDescent="0.25"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</row>
    <row r="1501" spans="5:22" x14ac:dyDescent="0.25"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</row>
    <row r="1502" spans="5:22" x14ac:dyDescent="0.25"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</row>
    <row r="1503" spans="5:22" x14ac:dyDescent="0.25"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</row>
    <row r="1504" spans="5:22" x14ac:dyDescent="0.25"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</row>
    <row r="1505" spans="5:22" x14ac:dyDescent="0.25"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</row>
    <row r="1506" spans="5:22" x14ac:dyDescent="0.25"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</row>
    <row r="1507" spans="5:22" x14ac:dyDescent="0.25"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</row>
    <row r="1508" spans="5:22" x14ac:dyDescent="0.25"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</row>
    <row r="1509" spans="5:22" x14ac:dyDescent="0.25"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</row>
    <row r="1510" spans="5:22" x14ac:dyDescent="0.25"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</row>
    <row r="1511" spans="5:22" x14ac:dyDescent="0.25"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</row>
    <row r="1512" spans="5:22" x14ac:dyDescent="0.25"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</row>
    <row r="1513" spans="5:22" x14ac:dyDescent="0.25"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</row>
    <row r="1514" spans="5:22" x14ac:dyDescent="0.25"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</row>
    <row r="1515" spans="5:22" x14ac:dyDescent="0.25"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</row>
    <row r="1516" spans="5:22" x14ac:dyDescent="0.25"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</row>
    <row r="1517" spans="5:22" x14ac:dyDescent="0.25"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</row>
    <row r="1518" spans="5:22" x14ac:dyDescent="0.25"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</row>
    <row r="1519" spans="5:22" x14ac:dyDescent="0.25"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</row>
    <row r="1520" spans="5:22" x14ac:dyDescent="0.25"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</row>
    <row r="1521" spans="5:22" x14ac:dyDescent="0.25"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</row>
    <row r="1522" spans="5:22" x14ac:dyDescent="0.25"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</row>
    <row r="1523" spans="5:22" x14ac:dyDescent="0.25"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</row>
    <row r="1524" spans="5:22" x14ac:dyDescent="0.25"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</row>
    <row r="1525" spans="5:22" x14ac:dyDescent="0.25"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</row>
    <row r="1526" spans="5:22" x14ac:dyDescent="0.25"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</row>
    <row r="1527" spans="5:22" x14ac:dyDescent="0.25"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</row>
    <row r="1528" spans="5:22" x14ac:dyDescent="0.25"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</row>
    <row r="1529" spans="5:22" x14ac:dyDescent="0.25"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</row>
    <row r="1530" spans="5:22" x14ac:dyDescent="0.25"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</row>
    <row r="1531" spans="5:22" x14ac:dyDescent="0.25"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</row>
    <row r="1532" spans="5:22" x14ac:dyDescent="0.25"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</row>
    <row r="1533" spans="5:22" x14ac:dyDescent="0.25"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</row>
    <row r="1534" spans="5:22" x14ac:dyDescent="0.25"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</row>
    <row r="1535" spans="5:22" x14ac:dyDescent="0.25"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</row>
    <row r="1536" spans="5:22" x14ac:dyDescent="0.25"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</row>
    <row r="1537" spans="5:22" x14ac:dyDescent="0.25"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</row>
    <row r="1538" spans="5:22" x14ac:dyDescent="0.25"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</row>
    <row r="1539" spans="5:22" x14ac:dyDescent="0.25"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</row>
    <row r="1540" spans="5:22" x14ac:dyDescent="0.25"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</row>
    <row r="1541" spans="5:22" x14ac:dyDescent="0.25"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</row>
    <row r="1542" spans="5:22" x14ac:dyDescent="0.25"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</row>
    <row r="1543" spans="5:22" x14ac:dyDescent="0.25"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</row>
    <row r="1544" spans="5:22" x14ac:dyDescent="0.25"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</row>
    <row r="1545" spans="5:22" x14ac:dyDescent="0.25"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</row>
    <row r="1546" spans="5:22" x14ac:dyDescent="0.25"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</row>
    <row r="1547" spans="5:22" x14ac:dyDescent="0.25"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</row>
    <row r="1548" spans="5:22" x14ac:dyDescent="0.25"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</row>
    <row r="1549" spans="5:22" x14ac:dyDescent="0.25"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</row>
    <row r="1550" spans="5:22" x14ac:dyDescent="0.25"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</row>
    <row r="1551" spans="5:22" x14ac:dyDescent="0.25"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</row>
    <row r="1552" spans="5:22" x14ac:dyDescent="0.25"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</row>
    <row r="1553" spans="5:22" x14ac:dyDescent="0.25"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</row>
    <row r="1554" spans="5:22" x14ac:dyDescent="0.25"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</row>
    <row r="1555" spans="5:22" x14ac:dyDescent="0.25"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</row>
    <row r="1556" spans="5:22" x14ac:dyDescent="0.25"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</row>
    <row r="1557" spans="5:22" x14ac:dyDescent="0.25"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</row>
    <row r="1558" spans="5:22" x14ac:dyDescent="0.25"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</row>
    <row r="1559" spans="5:22" x14ac:dyDescent="0.25"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</row>
    <row r="1560" spans="5:22" x14ac:dyDescent="0.25"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</row>
    <row r="1561" spans="5:22" x14ac:dyDescent="0.25"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</row>
    <row r="1562" spans="5:22" x14ac:dyDescent="0.25"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</row>
    <row r="1563" spans="5:22" x14ac:dyDescent="0.25"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</row>
    <row r="1564" spans="5:22" x14ac:dyDescent="0.25"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</row>
    <row r="1565" spans="5:22" x14ac:dyDescent="0.25"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</row>
    <row r="1566" spans="5:22" x14ac:dyDescent="0.25"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</row>
    <row r="1567" spans="5:22" x14ac:dyDescent="0.25"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</row>
    <row r="1568" spans="5:22" x14ac:dyDescent="0.25"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</row>
    <row r="1569" spans="5:22" x14ac:dyDescent="0.25"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</row>
    <row r="1570" spans="5:22" x14ac:dyDescent="0.25"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</row>
    <row r="1571" spans="5:22" x14ac:dyDescent="0.25"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</row>
    <row r="1572" spans="5:22" x14ac:dyDescent="0.25"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</row>
    <row r="1573" spans="5:22" x14ac:dyDescent="0.25"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</row>
    <row r="1574" spans="5:22" x14ac:dyDescent="0.25"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</row>
    <row r="1575" spans="5:22" x14ac:dyDescent="0.25"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</row>
    <row r="1576" spans="5:22" x14ac:dyDescent="0.25"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</row>
    <row r="1577" spans="5:22" x14ac:dyDescent="0.25"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</row>
    <row r="1578" spans="5:22" x14ac:dyDescent="0.25"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</row>
    <row r="1579" spans="5:22" x14ac:dyDescent="0.25"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</row>
    <row r="1580" spans="5:22" x14ac:dyDescent="0.25"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</row>
    <row r="1581" spans="5:22" x14ac:dyDescent="0.25"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</row>
    <row r="1582" spans="5:22" x14ac:dyDescent="0.25"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</row>
    <row r="1583" spans="5:22" x14ac:dyDescent="0.25"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</row>
    <row r="1584" spans="5:22" x14ac:dyDescent="0.25"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</row>
    <row r="1585" spans="5:22" x14ac:dyDescent="0.25"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</row>
    <row r="1586" spans="5:22" x14ac:dyDescent="0.25"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</row>
    <row r="1587" spans="5:22" x14ac:dyDescent="0.25"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</row>
    <row r="1588" spans="5:22" x14ac:dyDescent="0.25"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</row>
    <row r="1589" spans="5:22" x14ac:dyDescent="0.25"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</row>
    <row r="1590" spans="5:22" x14ac:dyDescent="0.25"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</row>
    <row r="1591" spans="5:22" x14ac:dyDescent="0.25"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</row>
    <row r="1592" spans="5:22" x14ac:dyDescent="0.25"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</row>
    <row r="1593" spans="5:22" x14ac:dyDescent="0.25"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</row>
    <row r="1594" spans="5:22" x14ac:dyDescent="0.25"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</row>
    <row r="1595" spans="5:22" x14ac:dyDescent="0.25"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</row>
    <row r="1596" spans="5:22" x14ac:dyDescent="0.25"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</row>
    <row r="1597" spans="5:22" x14ac:dyDescent="0.25"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</row>
    <row r="1598" spans="5:22" x14ac:dyDescent="0.25"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</row>
    <row r="1599" spans="5:22" x14ac:dyDescent="0.25"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</row>
    <row r="1600" spans="5:22" x14ac:dyDescent="0.25"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</row>
    <row r="1601" spans="5:22" x14ac:dyDescent="0.25"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</row>
    <row r="1602" spans="5:22" x14ac:dyDescent="0.25"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</row>
    <row r="1603" spans="5:22" x14ac:dyDescent="0.25"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</row>
    <row r="1604" spans="5:22" x14ac:dyDescent="0.25"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</row>
    <row r="1605" spans="5:22" x14ac:dyDescent="0.25"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</row>
    <row r="1606" spans="5:22" x14ac:dyDescent="0.25"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</row>
    <row r="1607" spans="5:22" x14ac:dyDescent="0.25"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</row>
    <row r="1608" spans="5:22" x14ac:dyDescent="0.25"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</row>
    <row r="1609" spans="5:22" x14ac:dyDescent="0.25"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</row>
    <row r="1610" spans="5:22" x14ac:dyDescent="0.25"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</row>
    <row r="1611" spans="5:22" x14ac:dyDescent="0.25"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</row>
    <row r="1612" spans="5:22" x14ac:dyDescent="0.25"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</row>
    <row r="1613" spans="5:22" x14ac:dyDescent="0.25"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</row>
    <row r="1614" spans="5:22" x14ac:dyDescent="0.25"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</row>
    <row r="1615" spans="5:22" x14ac:dyDescent="0.25"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</row>
    <row r="1616" spans="5:22" x14ac:dyDescent="0.25"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</row>
    <row r="1617" spans="5:22" x14ac:dyDescent="0.25"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</row>
    <row r="1618" spans="5:22" x14ac:dyDescent="0.25"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</row>
    <row r="1619" spans="5:22" x14ac:dyDescent="0.25"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</row>
    <row r="1620" spans="5:22" x14ac:dyDescent="0.25"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</row>
    <row r="1621" spans="5:22" x14ac:dyDescent="0.25"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</row>
    <row r="1622" spans="5:22" x14ac:dyDescent="0.25"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</row>
    <row r="1623" spans="5:22" x14ac:dyDescent="0.25"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</row>
    <row r="1624" spans="5:22" x14ac:dyDescent="0.25"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</row>
    <row r="1625" spans="5:22" x14ac:dyDescent="0.25"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</row>
    <row r="1626" spans="5:22" x14ac:dyDescent="0.25"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</row>
    <row r="1627" spans="5:22" x14ac:dyDescent="0.25"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</row>
    <row r="1628" spans="5:22" x14ac:dyDescent="0.25"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</row>
    <row r="1629" spans="5:22" x14ac:dyDescent="0.25"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</row>
    <row r="1630" spans="5:22" x14ac:dyDescent="0.25"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</row>
    <row r="1631" spans="5:22" x14ac:dyDescent="0.25"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</row>
    <row r="1632" spans="5:22" x14ac:dyDescent="0.25"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</row>
    <row r="1633" spans="5:22" x14ac:dyDescent="0.25"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</row>
    <row r="1634" spans="5:22" x14ac:dyDescent="0.25"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</row>
    <row r="1635" spans="5:22" x14ac:dyDescent="0.25"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</row>
    <row r="1636" spans="5:22" x14ac:dyDescent="0.25"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</row>
    <row r="1637" spans="5:22" x14ac:dyDescent="0.25"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</row>
    <row r="1638" spans="5:22" x14ac:dyDescent="0.25"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</row>
    <row r="1639" spans="5:22" x14ac:dyDescent="0.25"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</row>
    <row r="1640" spans="5:22" x14ac:dyDescent="0.25"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</row>
    <row r="1641" spans="5:22" x14ac:dyDescent="0.25"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</row>
    <row r="1642" spans="5:22" x14ac:dyDescent="0.25"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</row>
    <row r="1643" spans="5:22" x14ac:dyDescent="0.25"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</row>
    <row r="1644" spans="5:22" x14ac:dyDescent="0.25"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</row>
    <row r="1645" spans="5:22" x14ac:dyDescent="0.25"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</row>
    <row r="1646" spans="5:22" x14ac:dyDescent="0.25"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</row>
    <row r="1647" spans="5:22" x14ac:dyDescent="0.25"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</row>
    <row r="1648" spans="5:22" x14ac:dyDescent="0.25"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</row>
    <row r="1649" spans="5:22" x14ac:dyDescent="0.25"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</row>
    <row r="1650" spans="5:22" x14ac:dyDescent="0.25"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</row>
    <row r="1651" spans="5:22" x14ac:dyDescent="0.25"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</row>
    <row r="1652" spans="5:22" x14ac:dyDescent="0.25"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</row>
    <row r="1653" spans="5:22" x14ac:dyDescent="0.25"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</row>
    <row r="1654" spans="5:22" x14ac:dyDescent="0.25"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</row>
    <row r="1655" spans="5:22" x14ac:dyDescent="0.25"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</row>
    <row r="1656" spans="5:22" x14ac:dyDescent="0.25"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</row>
    <row r="1657" spans="5:22" x14ac:dyDescent="0.25"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</row>
    <row r="1658" spans="5:22" x14ac:dyDescent="0.25"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</row>
    <row r="1659" spans="5:22" x14ac:dyDescent="0.25"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</row>
    <row r="1660" spans="5:22" x14ac:dyDescent="0.25"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</row>
    <row r="1661" spans="5:22" x14ac:dyDescent="0.25"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</row>
    <row r="1662" spans="5:22" x14ac:dyDescent="0.25"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</row>
    <row r="1663" spans="5:22" x14ac:dyDescent="0.25"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</row>
    <row r="1664" spans="5:22" x14ac:dyDescent="0.25"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</row>
    <row r="1665" spans="5:22" x14ac:dyDescent="0.25"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</row>
    <row r="1666" spans="5:22" x14ac:dyDescent="0.25"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</row>
    <row r="1667" spans="5:22" x14ac:dyDescent="0.25"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</row>
    <row r="1668" spans="5:22" x14ac:dyDescent="0.25"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</row>
    <row r="1669" spans="5:22" x14ac:dyDescent="0.25"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</row>
    <row r="1670" spans="5:22" x14ac:dyDescent="0.25"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</row>
    <row r="1671" spans="5:22" x14ac:dyDescent="0.25"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</row>
    <row r="1672" spans="5:22" x14ac:dyDescent="0.25"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</row>
    <row r="1673" spans="5:22" x14ac:dyDescent="0.25"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</row>
    <row r="1674" spans="5:22" x14ac:dyDescent="0.25"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</row>
    <row r="1675" spans="5:22" x14ac:dyDescent="0.25"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</row>
    <row r="1676" spans="5:22" x14ac:dyDescent="0.25"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</row>
    <row r="1677" spans="5:22" x14ac:dyDescent="0.25"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</row>
    <row r="1678" spans="5:22" x14ac:dyDescent="0.25"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</row>
    <row r="1679" spans="5:22" x14ac:dyDescent="0.25"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</row>
    <row r="1680" spans="5:22" x14ac:dyDescent="0.25"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</row>
    <row r="1681" spans="5:22" x14ac:dyDescent="0.25"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</row>
    <row r="1682" spans="5:22" x14ac:dyDescent="0.25"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</row>
    <row r="1683" spans="5:22" x14ac:dyDescent="0.25"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</row>
    <row r="1684" spans="5:22" x14ac:dyDescent="0.25"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</row>
    <row r="1685" spans="5:22" x14ac:dyDescent="0.25"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</row>
    <row r="1686" spans="5:22" x14ac:dyDescent="0.25"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</row>
    <row r="1687" spans="5:22" x14ac:dyDescent="0.25"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</row>
    <row r="1688" spans="5:22" x14ac:dyDescent="0.25"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</row>
    <row r="1689" spans="5:22" x14ac:dyDescent="0.25"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</row>
    <row r="1690" spans="5:22" x14ac:dyDescent="0.25"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</row>
    <row r="1691" spans="5:22" x14ac:dyDescent="0.25"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</row>
    <row r="1692" spans="5:22" x14ac:dyDescent="0.25"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</row>
    <row r="1693" spans="5:22" x14ac:dyDescent="0.25"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</row>
    <row r="1694" spans="5:22" x14ac:dyDescent="0.25"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</row>
    <row r="1695" spans="5:22" x14ac:dyDescent="0.25"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</row>
    <row r="1696" spans="5:22" x14ac:dyDescent="0.25"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</row>
    <row r="1697" spans="5:22" x14ac:dyDescent="0.25"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</row>
    <row r="1698" spans="5:22" x14ac:dyDescent="0.25"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</row>
    <row r="1699" spans="5:22" x14ac:dyDescent="0.25"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</row>
    <row r="1700" spans="5:22" x14ac:dyDescent="0.25"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</row>
    <row r="1701" spans="5:22" x14ac:dyDescent="0.25"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</row>
    <row r="1702" spans="5:22" x14ac:dyDescent="0.25"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</row>
    <row r="1703" spans="5:22" x14ac:dyDescent="0.25"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</row>
    <row r="1704" spans="5:22" x14ac:dyDescent="0.25"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</row>
    <row r="1705" spans="5:22" x14ac:dyDescent="0.25"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</row>
    <row r="1706" spans="5:22" x14ac:dyDescent="0.25"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</row>
    <row r="1707" spans="5:22" x14ac:dyDescent="0.25"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</row>
    <row r="1708" spans="5:22" x14ac:dyDescent="0.25"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</row>
    <row r="1709" spans="5:22" x14ac:dyDescent="0.25"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</row>
    <row r="1710" spans="5:22" x14ac:dyDescent="0.25"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</row>
    <row r="1711" spans="5:22" x14ac:dyDescent="0.25"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</row>
    <row r="1712" spans="5:22" x14ac:dyDescent="0.25"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</row>
    <row r="1713" spans="5:22" x14ac:dyDescent="0.25"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</row>
    <row r="1714" spans="5:22" x14ac:dyDescent="0.25"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</row>
    <row r="1715" spans="5:22" x14ac:dyDescent="0.25"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</row>
    <row r="1716" spans="5:22" x14ac:dyDescent="0.25"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</row>
    <row r="1717" spans="5:22" x14ac:dyDescent="0.25"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</row>
    <row r="1718" spans="5:22" x14ac:dyDescent="0.25"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</row>
    <row r="1719" spans="5:22" x14ac:dyDescent="0.25"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</row>
    <row r="1720" spans="5:22" x14ac:dyDescent="0.25"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</row>
    <row r="1721" spans="5:22" x14ac:dyDescent="0.25"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</row>
    <row r="1722" spans="5:22" x14ac:dyDescent="0.25"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</row>
    <row r="1723" spans="5:22" x14ac:dyDescent="0.25"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</row>
    <row r="1724" spans="5:22" x14ac:dyDescent="0.25"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</row>
    <row r="1725" spans="5:22" x14ac:dyDescent="0.25"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</row>
    <row r="1726" spans="5:22" x14ac:dyDescent="0.25"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</row>
    <row r="1727" spans="5:22" x14ac:dyDescent="0.25"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</row>
    <row r="1728" spans="5:22" x14ac:dyDescent="0.25"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</row>
    <row r="1729" spans="5:22" x14ac:dyDescent="0.25"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</row>
    <row r="1730" spans="5:22" x14ac:dyDescent="0.25"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</row>
    <row r="1731" spans="5:22" x14ac:dyDescent="0.25"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</row>
    <row r="1732" spans="5:22" x14ac:dyDescent="0.25"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</row>
    <row r="1733" spans="5:22" x14ac:dyDescent="0.25"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</row>
    <row r="1734" spans="5:22" x14ac:dyDescent="0.25"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</row>
    <row r="1735" spans="5:22" x14ac:dyDescent="0.25"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</row>
    <row r="1736" spans="5:22" x14ac:dyDescent="0.25"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</row>
    <row r="1737" spans="5:22" x14ac:dyDescent="0.25"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</row>
    <row r="1738" spans="5:22" x14ac:dyDescent="0.25"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</row>
    <row r="1739" spans="5:22" x14ac:dyDescent="0.25"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</row>
    <row r="1740" spans="5:22" x14ac:dyDescent="0.25"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</row>
    <row r="1741" spans="5:22" x14ac:dyDescent="0.25"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</row>
    <row r="1742" spans="5:22" x14ac:dyDescent="0.25"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</row>
    <row r="1743" spans="5:22" x14ac:dyDescent="0.25"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</row>
    <row r="1744" spans="5:22" x14ac:dyDescent="0.25"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</row>
    <row r="1745" spans="5:22" x14ac:dyDescent="0.25"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</row>
    <row r="1746" spans="5:22" x14ac:dyDescent="0.25"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</row>
    <row r="1747" spans="5:22" x14ac:dyDescent="0.25"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</row>
    <row r="1748" spans="5:22" x14ac:dyDescent="0.25"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</row>
    <row r="1749" spans="5:22" x14ac:dyDescent="0.25"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</row>
    <row r="1750" spans="5:22" x14ac:dyDescent="0.25"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</row>
    <row r="1751" spans="5:22" x14ac:dyDescent="0.25"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</row>
    <row r="1752" spans="5:22" x14ac:dyDescent="0.25"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</row>
    <row r="1753" spans="5:22" x14ac:dyDescent="0.25"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</row>
    <row r="1754" spans="5:22" x14ac:dyDescent="0.25"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</row>
    <row r="1755" spans="5:22" x14ac:dyDescent="0.25"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</row>
    <row r="1756" spans="5:22" x14ac:dyDescent="0.25"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</row>
    <row r="1757" spans="5:22" x14ac:dyDescent="0.25"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</row>
    <row r="1758" spans="5:22" x14ac:dyDescent="0.25"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</row>
    <row r="1759" spans="5:22" x14ac:dyDescent="0.25"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</row>
    <row r="1760" spans="5:22" x14ac:dyDescent="0.25"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</row>
    <row r="1761" spans="5:22" x14ac:dyDescent="0.25"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</row>
    <row r="1762" spans="5:22" x14ac:dyDescent="0.25"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</row>
    <row r="1763" spans="5:22" x14ac:dyDescent="0.25"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</row>
    <row r="1764" spans="5:22" x14ac:dyDescent="0.25"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</row>
    <row r="1765" spans="5:22" x14ac:dyDescent="0.25"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</row>
    <row r="1766" spans="5:22" x14ac:dyDescent="0.25"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</row>
    <row r="1767" spans="5:22" x14ac:dyDescent="0.25"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</row>
    <row r="1768" spans="5:22" x14ac:dyDescent="0.25"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</row>
    <row r="1769" spans="5:22" x14ac:dyDescent="0.25"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</row>
    <row r="1770" spans="5:22" x14ac:dyDescent="0.25"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</row>
    <row r="1771" spans="5:22" x14ac:dyDescent="0.25"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</row>
    <row r="1772" spans="5:22" x14ac:dyDescent="0.25"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</row>
    <row r="1773" spans="5:22" x14ac:dyDescent="0.25"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</row>
    <row r="1774" spans="5:22" x14ac:dyDescent="0.25"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</row>
    <row r="1775" spans="5:22" x14ac:dyDescent="0.25"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</row>
    <row r="1776" spans="5:22" x14ac:dyDescent="0.25"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</row>
    <row r="1777" spans="5:22" x14ac:dyDescent="0.25"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</row>
    <row r="1778" spans="5:22" x14ac:dyDescent="0.25"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</row>
    <row r="1779" spans="5:22" x14ac:dyDescent="0.25"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</row>
    <row r="1780" spans="5:22" x14ac:dyDescent="0.25"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</row>
    <row r="1781" spans="5:22" x14ac:dyDescent="0.25"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</row>
    <row r="1782" spans="5:22" x14ac:dyDescent="0.25"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</row>
    <row r="1783" spans="5:22" x14ac:dyDescent="0.25"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</row>
    <row r="1784" spans="5:22" x14ac:dyDescent="0.25"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</row>
    <row r="1785" spans="5:22" x14ac:dyDescent="0.25"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</row>
    <row r="1786" spans="5:22" x14ac:dyDescent="0.25"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</row>
    <row r="1787" spans="5:22" x14ac:dyDescent="0.25"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</row>
    <row r="1788" spans="5:22" x14ac:dyDescent="0.25"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</row>
    <row r="1789" spans="5:22" x14ac:dyDescent="0.25"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</row>
    <row r="1790" spans="5:22" x14ac:dyDescent="0.25"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</row>
    <row r="1791" spans="5:22" x14ac:dyDescent="0.25"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</row>
    <row r="1792" spans="5:22" x14ac:dyDescent="0.25"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</row>
    <row r="1793" spans="5:22" x14ac:dyDescent="0.25"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</row>
    <row r="1794" spans="5:22" x14ac:dyDescent="0.25"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</row>
    <row r="1795" spans="5:22" x14ac:dyDescent="0.25"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</row>
    <row r="1796" spans="5:22" x14ac:dyDescent="0.25"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</row>
    <row r="1797" spans="5:22" x14ac:dyDescent="0.25"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</row>
    <row r="1798" spans="5:22" x14ac:dyDescent="0.25"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</row>
    <row r="1799" spans="5:22" x14ac:dyDescent="0.25"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</row>
    <row r="1800" spans="5:22" x14ac:dyDescent="0.25"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</row>
    <row r="1801" spans="5:22" x14ac:dyDescent="0.25"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</row>
    <row r="1802" spans="5:22" x14ac:dyDescent="0.25"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</row>
    <row r="1803" spans="5:22" x14ac:dyDescent="0.25"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</row>
    <row r="1804" spans="5:22" x14ac:dyDescent="0.25"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</row>
    <row r="1805" spans="5:22" x14ac:dyDescent="0.25"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</row>
    <row r="1806" spans="5:22" x14ac:dyDescent="0.25"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</row>
    <row r="1807" spans="5:22" x14ac:dyDescent="0.25"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</row>
    <row r="1808" spans="5:22" x14ac:dyDescent="0.25"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</row>
    <row r="1809" spans="5:22" x14ac:dyDescent="0.25"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</row>
    <row r="1810" spans="5:22" x14ac:dyDescent="0.25"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</row>
    <row r="1811" spans="5:22" x14ac:dyDescent="0.25"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</row>
    <row r="1812" spans="5:22" x14ac:dyDescent="0.25"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</row>
    <row r="1813" spans="5:22" x14ac:dyDescent="0.25"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</row>
    <row r="1814" spans="5:22" x14ac:dyDescent="0.25"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</row>
    <row r="1815" spans="5:22" x14ac:dyDescent="0.25"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</row>
    <row r="1816" spans="5:22" x14ac:dyDescent="0.25"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</row>
    <row r="1817" spans="5:22" x14ac:dyDescent="0.25"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</row>
    <row r="1818" spans="5:22" x14ac:dyDescent="0.25"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</row>
    <row r="1819" spans="5:22" x14ac:dyDescent="0.25"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</row>
    <row r="1820" spans="5:22" x14ac:dyDescent="0.25"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</row>
    <row r="1821" spans="5:22" x14ac:dyDescent="0.25"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</row>
    <row r="1822" spans="5:22" x14ac:dyDescent="0.25"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</row>
    <row r="1823" spans="5:22" x14ac:dyDescent="0.25"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</row>
    <row r="1824" spans="5:22" x14ac:dyDescent="0.25"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</row>
    <row r="1825" spans="5:22" x14ac:dyDescent="0.25"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</row>
    <row r="1826" spans="5:22" x14ac:dyDescent="0.25"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</row>
    <row r="1827" spans="5:22" x14ac:dyDescent="0.25"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</row>
    <row r="1828" spans="5:22" x14ac:dyDescent="0.25"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</row>
    <row r="1829" spans="5:22" x14ac:dyDescent="0.25"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</row>
    <row r="1830" spans="5:22" x14ac:dyDescent="0.25"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</row>
    <row r="1831" spans="5:22" x14ac:dyDescent="0.25"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</row>
    <row r="1832" spans="5:22" x14ac:dyDescent="0.25"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</row>
    <row r="1833" spans="5:22" x14ac:dyDescent="0.25"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</row>
    <row r="1834" spans="5:22" x14ac:dyDescent="0.25"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</row>
    <row r="1835" spans="5:22" x14ac:dyDescent="0.25"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</row>
    <row r="1836" spans="5:22" x14ac:dyDescent="0.25"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</row>
    <row r="1837" spans="5:22" x14ac:dyDescent="0.25"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</row>
    <row r="1838" spans="5:22" x14ac:dyDescent="0.25"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</row>
    <row r="1839" spans="5:22" x14ac:dyDescent="0.25"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</row>
    <row r="1840" spans="5:22" x14ac:dyDescent="0.25"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</row>
    <row r="1841" spans="5:22" x14ac:dyDescent="0.25"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</row>
    <row r="1842" spans="5:22" x14ac:dyDescent="0.25"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</row>
    <row r="1843" spans="5:22" x14ac:dyDescent="0.25"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</row>
    <row r="1844" spans="5:22" x14ac:dyDescent="0.25"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</row>
    <row r="1845" spans="5:22" x14ac:dyDescent="0.25"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</row>
    <row r="1846" spans="5:22" x14ac:dyDescent="0.25"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</row>
    <row r="1847" spans="5:22" x14ac:dyDescent="0.25"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</row>
    <row r="1848" spans="5:22" x14ac:dyDescent="0.25"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</row>
    <row r="1849" spans="5:22" x14ac:dyDescent="0.25"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</row>
    <row r="1850" spans="5:22" x14ac:dyDescent="0.25"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</row>
    <row r="1851" spans="5:22" x14ac:dyDescent="0.25"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</row>
    <row r="1852" spans="5:22" x14ac:dyDescent="0.25"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</row>
    <row r="1853" spans="5:22" x14ac:dyDescent="0.25"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</row>
    <row r="1854" spans="5:22" x14ac:dyDescent="0.25"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</row>
    <row r="1855" spans="5:22" x14ac:dyDescent="0.25"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</row>
    <row r="1856" spans="5:22" x14ac:dyDescent="0.25"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</row>
    <row r="1857" spans="5:22" x14ac:dyDescent="0.25"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</row>
    <row r="1858" spans="5:22" x14ac:dyDescent="0.25"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</row>
    <row r="1859" spans="5:22" x14ac:dyDescent="0.25"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</row>
    <row r="1860" spans="5:22" x14ac:dyDescent="0.25"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</row>
    <row r="1861" spans="5:22" x14ac:dyDescent="0.25"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</row>
    <row r="1862" spans="5:22" x14ac:dyDescent="0.25"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</row>
    <row r="1863" spans="5:22" x14ac:dyDescent="0.25"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</row>
    <row r="1864" spans="5:22" x14ac:dyDescent="0.25"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</row>
    <row r="1865" spans="5:22" x14ac:dyDescent="0.25"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</row>
    <row r="1866" spans="5:22" x14ac:dyDescent="0.25"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</row>
    <row r="1867" spans="5:22" x14ac:dyDescent="0.25"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</row>
    <row r="1868" spans="5:22" x14ac:dyDescent="0.25"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</row>
    <row r="1869" spans="5:22" x14ac:dyDescent="0.25"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</row>
    <row r="1870" spans="5:22" x14ac:dyDescent="0.25"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</row>
    <row r="1871" spans="5:22" x14ac:dyDescent="0.25"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</row>
    <row r="1872" spans="5:22" x14ac:dyDescent="0.25"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</row>
    <row r="1873" spans="5:22" x14ac:dyDescent="0.25"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</row>
    <row r="1874" spans="5:22" x14ac:dyDescent="0.25"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</row>
    <row r="1875" spans="5:22" x14ac:dyDescent="0.25"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</row>
    <row r="1876" spans="5:22" x14ac:dyDescent="0.25"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</row>
    <row r="1877" spans="5:22" x14ac:dyDescent="0.25"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</row>
    <row r="1878" spans="5:22" x14ac:dyDescent="0.25"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</row>
    <row r="1879" spans="5:22" x14ac:dyDescent="0.25"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</row>
    <row r="1880" spans="5:22" x14ac:dyDescent="0.25"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</row>
    <row r="1881" spans="5:22" x14ac:dyDescent="0.25"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</row>
    <row r="1882" spans="5:22" x14ac:dyDescent="0.25"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</row>
    <row r="1883" spans="5:22" x14ac:dyDescent="0.25"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</row>
    <row r="1884" spans="5:22" x14ac:dyDescent="0.25"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</row>
    <row r="1885" spans="5:22" x14ac:dyDescent="0.25"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</row>
    <row r="1886" spans="5:22" x14ac:dyDescent="0.25"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</row>
    <row r="1887" spans="5:22" x14ac:dyDescent="0.25"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</row>
    <row r="1888" spans="5:22" x14ac:dyDescent="0.25"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</row>
    <row r="1889" spans="5:22" x14ac:dyDescent="0.25"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</row>
    <row r="1890" spans="5:22" x14ac:dyDescent="0.25"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</row>
    <row r="1891" spans="5:22" x14ac:dyDescent="0.25"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</row>
    <row r="1892" spans="5:22" x14ac:dyDescent="0.25"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</row>
    <row r="1893" spans="5:22" x14ac:dyDescent="0.25"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</row>
    <row r="1894" spans="5:22" x14ac:dyDescent="0.25"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</row>
    <row r="1895" spans="5:22" x14ac:dyDescent="0.25"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</row>
    <row r="1896" spans="5:22" x14ac:dyDescent="0.25"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</row>
    <row r="1897" spans="5:22" x14ac:dyDescent="0.25"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</row>
    <row r="1898" spans="5:22" x14ac:dyDescent="0.25"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</row>
    <row r="1899" spans="5:22" x14ac:dyDescent="0.25"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</row>
    <row r="1900" spans="5:22" x14ac:dyDescent="0.25"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</row>
    <row r="1901" spans="5:22" x14ac:dyDescent="0.25"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</row>
    <row r="1902" spans="5:22" x14ac:dyDescent="0.25"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</row>
    <row r="1903" spans="5:22" x14ac:dyDescent="0.25"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</row>
    <row r="1904" spans="5:22" x14ac:dyDescent="0.25"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</row>
    <row r="1905" spans="5:22" x14ac:dyDescent="0.25"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</row>
    <row r="1906" spans="5:22" x14ac:dyDescent="0.25"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</row>
    <row r="1907" spans="5:22" x14ac:dyDescent="0.25"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</row>
    <row r="1908" spans="5:22" x14ac:dyDescent="0.25"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</row>
    <row r="1909" spans="5:22" x14ac:dyDescent="0.25"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</row>
    <row r="1910" spans="5:22" x14ac:dyDescent="0.25"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</row>
    <row r="1911" spans="5:22" x14ac:dyDescent="0.25"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</row>
    <row r="1912" spans="5:22" x14ac:dyDescent="0.25"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</row>
    <row r="1913" spans="5:22" x14ac:dyDescent="0.25"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</row>
    <row r="1914" spans="5:22" x14ac:dyDescent="0.25"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</row>
    <row r="1915" spans="5:22" x14ac:dyDescent="0.25"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</row>
    <row r="1916" spans="5:22" x14ac:dyDescent="0.25"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</row>
    <row r="1917" spans="5:22" x14ac:dyDescent="0.25"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</row>
    <row r="1918" spans="5:22" x14ac:dyDescent="0.25"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</row>
    <row r="1919" spans="5:22" x14ac:dyDescent="0.25"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</row>
    <row r="1920" spans="5:22" x14ac:dyDescent="0.25"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</row>
    <row r="1921" spans="5:22" x14ac:dyDescent="0.25"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</row>
    <row r="1922" spans="5:22" x14ac:dyDescent="0.25"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</row>
    <row r="1923" spans="5:22" x14ac:dyDescent="0.25"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</row>
    <row r="1924" spans="5:22" x14ac:dyDescent="0.25"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</row>
    <row r="1925" spans="5:22" x14ac:dyDescent="0.25"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</row>
    <row r="1926" spans="5:22" x14ac:dyDescent="0.25"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</row>
    <row r="1927" spans="5:22" x14ac:dyDescent="0.25"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</row>
    <row r="1928" spans="5:22" x14ac:dyDescent="0.25"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</row>
    <row r="1929" spans="5:22" x14ac:dyDescent="0.25"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</row>
    <row r="1930" spans="5:22" x14ac:dyDescent="0.25"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</row>
    <row r="1931" spans="5:22" x14ac:dyDescent="0.25"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</row>
    <row r="1932" spans="5:22" x14ac:dyDescent="0.25"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</row>
    <row r="1933" spans="5:22" x14ac:dyDescent="0.25"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</row>
    <row r="1934" spans="5:22" x14ac:dyDescent="0.25"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</row>
    <row r="1935" spans="5:22" x14ac:dyDescent="0.25"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</row>
    <row r="1936" spans="5:22" x14ac:dyDescent="0.25"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</row>
    <row r="1937" spans="5:22" x14ac:dyDescent="0.25"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</row>
    <row r="1938" spans="5:22" x14ac:dyDescent="0.25"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</row>
    <row r="1939" spans="5:22" x14ac:dyDescent="0.25"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</row>
    <row r="1940" spans="5:22" x14ac:dyDescent="0.25"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</row>
    <row r="1941" spans="5:22" x14ac:dyDescent="0.25"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</row>
    <row r="1942" spans="5:22" x14ac:dyDescent="0.25"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</row>
    <row r="1943" spans="5:22" x14ac:dyDescent="0.25"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</row>
    <row r="1944" spans="5:22" x14ac:dyDescent="0.25"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</row>
    <row r="1945" spans="5:22" x14ac:dyDescent="0.25"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</row>
    <row r="1946" spans="5:22" x14ac:dyDescent="0.25"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</row>
    <row r="1947" spans="5:22" x14ac:dyDescent="0.25"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</row>
    <row r="1948" spans="5:22" x14ac:dyDescent="0.25"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</row>
    <row r="1949" spans="5:22" x14ac:dyDescent="0.25"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</row>
    <row r="1950" spans="5:22" x14ac:dyDescent="0.25"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</row>
    <row r="1951" spans="5:22" x14ac:dyDescent="0.25"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</row>
    <row r="1952" spans="5:22" x14ac:dyDescent="0.25"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</row>
    <row r="1953" spans="5:22" x14ac:dyDescent="0.25"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</row>
    <row r="1954" spans="5:22" x14ac:dyDescent="0.25"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</row>
    <row r="1955" spans="5:22" x14ac:dyDescent="0.25"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</row>
    <row r="1956" spans="5:22" x14ac:dyDescent="0.25"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</row>
    <row r="1957" spans="5:22" x14ac:dyDescent="0.25"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</row>
    <row r="1958" spans="5:22" x14ac:dyDescent="0.25"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</row>
    <row r="1959" spans="5:22" x14ac:dyDescent="0.25"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</row>
    <row r="1960" spans="5:22" x14ac:dyDescent="0.25"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</row>
    <row r="1961" spans="5:22" x14ac:dyDescent="0.25"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</row>
    <row r="1962" spans="5:22" x14ac:dyDescent="0.25"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</row>
    <row r="1963" spans="5:22" x14ac:dyDescent="0.25"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</row>
    <row r="1964" spans="5:22" x14ac:dyDescent="0.25"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</row>
    <row r="1965" spans="5:22" x14ac:dyDescent="0.25"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</row>
    <row r="1966" spans="5:22" x14ac:dyDescent="0.25"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</row>
    <row r="1967" spans="5:22" x14ac:dyDescent="0.25"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</row>
    <row r="1968" spans="5:22" x14ac:dyDescent="0.25"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</row>
    <row r="1969" spans="5:22" x14ac:dyDescent="0.25"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</row>
    <row r="1970" spans="5:22" x14ac:dyDescent="0.25"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</row>
    <row r="1971" spans="5:22" x14ac:dyDescent="0.25"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</row>
    <row r="1972" spans="5:22" x14ac:dyDescent="0.25"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</row>
    <row r="1973" spans="5:22" x14ac:dyDescent="0.25"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</row>
    <row r="1974" spans="5:22" x14ac:dyDescent="0.25"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</row>
    <row r="1975" spans="5:22" x14ac:dyDescent="0.25"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</row>
    <row r="1976" spans="5:22" x14ac:dyDescent="0.25"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</row>
    <row r="1977" spans="5:22" x14ac:dyDescent="0.25"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</row>
    <row r="1978" spans="5:22" x14ac:dyDescent="0.25"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</row>
    <row r="1979" spans="5:22" x14ac:dyDescent="0.25"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</row>
    <row r="1980" spans="5:22" x14ac:dyDescent="0.25"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</row>
    <row r="1981" spans="5:22" x14ac:dyDescent="0.25"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</row>
    <row r="1982" spans="5:22" x14ac:dyDescent="0.25"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</row>
    <row r="1983" spans="5:22" x14ac:dyDescent="0.25"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</row>
    <row r="1984" spans="5:22" x14ac:dyDescent="0.25"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</row>
    <row r="1985" spans="5:22" x14ac:dyDescent="0.25"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</row>
    <row r="1986" spans="5:22" x14ac:dyDescent="0.25"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</row>
    <row r="1987" spans="5:22" x14ac:dyDescent="0.25"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</row>
    <row r="1988" spans="5:22" x14ac:dyDescent="0.25"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</row>
    <row r="1989" spans="5:22" x14ac:dyDescent="0.25"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</row>
    <row r="1990" spans="5:22" x14ac:dyDescent="0.25"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</row>
    <row r="1991" spans="5:22" x14ac:dyDescent="0.25"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</row>
    <row r="1992" spans="5:22" x14ac:dyDescent="0.25"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</row>
    <row r="1993" spans="5:22" x14ac:dyDescent="0.25"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</row>
    <row r="1994" spans="5:22" x14ac:dyDescent="0.25"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</row>
    <row r="1995" spans="5:22" x14ac:dyDescent="0.25"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</row>
    <row r="1996" spans="5:22" x14ac:dyDescent="0.25"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</row>
    <row r="1997" spans="5:22" x14ac:dyDescent="0.25"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</row>
    <row r="1998" spans="5:22" x14ac:dyDescent="0.25"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</row>
    <row r="1999" spans="5:22" x14ac:dyDescent="0.25"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</row>
    <row r="2000" spans="5:22" x14ac:dyDescent="0.25"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</row>
    <row r="2001" spans="5:22" x14ac:dyDescent="0.25"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</row>
    <row r="2002" spans="5:22" x14ac:dyDescent="0.25"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</row>
    <row r="2003" spans="5:22" x14ac:dyDescent="0.25"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</row>
    <row r="2004" spans="5:22" x14ac:dyDescent="0.25"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</row>
    <row r="2005" spans="5:22" x14ac:dyDescent="0.25"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</row>
    <row r="2006" spans="5:22" x14ac:dyDescent="0.25"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</row>
    <row r="2007" spans="5:22" x14ac:dyDescent="0.25"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</row>
    <row r="2008" spans="5:22" x14ac:dyDescent="0.25"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</row>
    <row r="2009" spans="5:22" x14ac:dyDescent="0.25"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</row>
    <row r="2010" spans="5:22" x14ac:dyDescent="0.25"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</row>
    <row r="2011" spans="5:22" x14ac:dyDescent="0.25"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</row>
    <row r="2012" spans="5:22" x14ac:dyDescent="0.25"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</row>
    <row r="2013" spans="5:22" x14ac:dyDescent="0.25"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</row>
    <row r="2014" spans="5:22" x14ac:dyDescent="0.25"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</row>
    <row r="2015" spans="5:22" x14ac:dyDescent="0.25"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</row>
    <row r="2016" spans="5:22" x14ac:dyDescent="0.25"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</row>
    <row r="2017" spans="5:22" x14ac:dyDescent="0.25"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</row>
    <row r="2018" spans="5:22" x14ac:dyDescent="0.25"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</row>
    <row r="2019" spans="5:22" x14ac:dyDescent="0.25"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</row>
    <row r="2020" spans="5:22" x14ac:dyDescent="0.25"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</row>
    <row r="2021" spans="5:22" x14ac:dyDescent="0.25"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</row>
    <row r="2022" spans="5:22" x14ac:dyDescent="0.25"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</row>
    <row r="2023" spans="5:22" x14ac:dyDescent="0.25"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</row>
    <row r="2024" spans="5:22" x14ac:dyDescent="0.25"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</row>
    <row r="2025" spans="5:22" x14ac:dyDescent="0.25"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</row>
    <row r="2026" spans="5:22" x14ac:dyDescent="0.25"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</row>
    <row r="2027" spans="5:22" x14ac:dyDescent="0.25"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</row>
    <row r="2028" spans="5:22" x14ac:dyDescent="0.25"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</row>
    <row r="2029" spans="5:22" x14ac:dyDescent="0.25"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</row>
    <row r="2030" spans="5:22" x14ac:dyDescent="0.25"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</row>
    <row r="2031" spans="5:22" x14ac:dyDescent="0.25"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</row>
    <row r="2032" spans="5:22" x14ac:dyDescent="0.25"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</row>
    <row r="2033" spans="5:22" x14ac:dyDescent="0.25"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</row>
    <row r="2034" spans="5:22" x14ac:dyDescent="0.25"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</row>
    <row r="2035" spans="5:22" x14ac:dyDescent="0.25"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</row>
    <row r="2036" spans="5:22" x14ac:dyDescent="0.25"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</row>
    <row r="2037" spans="5:22" x14ac:dyDescent="0.25"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</row>
    <row r="2038" spans="5:22" x14ac:dyDescent="0.25"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</row>
    <row r="2039" spans="5:22" x14ac:dyDescent="0.25"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</row>
    <row r="2040" spans="5:22" x14ac:dyDescent="0.25"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</row>
    <row r="2041" spans="5:22" x14ac:dyDescent="0.25"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</row>
    <row r="2042" spans="5:22" x14ac:dyDescent="0.25"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</row>
    <row r="2043" spans="5:22" x14ac:dyDescent="0.25"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</row>
    <row r="2044" spans="5:22" x14ac:dyDescent="0.25"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</row>
    <row r="2045" spans="5:22" x14ac:dyDescent="0.25"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</row>
    <row r="2046" spans="5:22" x14ac:dyDescent="0.25"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</row>
    <row r="2047" spans="5:22" x14ac:dyDescent="0.25"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</row>
    <row r="2048" spans="5:22" x14ac:dyDescent="0.25"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</row>
    <row r="2049" spans="5:22" x14ac:dyDescent="0.25"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</row>
    <row r="2050" spans="5:22" x14ac:dyDescent="0.25"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</row>
    <row r="2051" spans="5:22" x14ac:dyDescent="0.25"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</row>
    <row r="2052" spans="5:22" x14ac:dyDescent="0.25"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</row>
    <row r="2053" spans="5:22" x14ac:dyDescent="0.25"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</row>
    <row r="2054" spans="5:22" x14ac:dyDescent="0.25"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</row>
    <row r="2055" spans="5:22" x14ac:dyDescent="0.25"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</row>
    <row r="2056" spans="5:22" x14ac:dyDescent="0.25"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</row>
    <row r="2057" spans="5:22" x14ac:dyDescent="0.25"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</row>
  </sheetData>
  <mergeCells count="7">
    <mergeCell ref="B13:B14"/>
    <mergeCell ref="A3:V3"/>
    <mergeCell ref="A4:V4"/>
    <mergeCell ref="B5:C6"/>
    <mergeCell ref="B7:C7"/>
    <mergeCell ref="B8:C8"/>
    <mergeCell ref="B11:B12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43" orientation="landscape" r:id="rId1"/>
  <headerFooter alignWithMargins="0"/>
  <ignoredErrors>
    <ignoredError sqref="Q10:V10 Q20:V22 T19:V19 Q12:V12 T11:V11 Q14:V18 T13:V13 Q24:V24 T23:V23 Q28:V32 T27:V27 Q26:V26 T25:V25 H16:H26 H10:H15 H27:H32 G21 E21" formula="1"/>
    <ignoredError sqref="L9 P8 O10 O20:O22 O12 O14:O18 O24 O28:O32 O26 L7 P9 L8 P7" evalError="1"/>
    <ignoredError sqref="I16:J18 I28:J32 I10:J10 K28:K32 K10 K16:K18 L10:L32 P25 P26 P27 P28:P32 P23 P24 P13 P14:P18 P11 P12 P19 P20:P22 P10 I12:J12 K12 I14:J15 K14:K15 I20:J22 K20:K22 I24:J24 K24 I26:J26 K26" evalError="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V32"/>
  <sheetViews>
    <sheetView topLeftCell="A13" zoomScale="70" zoomScaleNormal="70" workbookViewId="0">
      <selection activeCell="C34" sqref="C34"/>
    </sheetView>
  </sheetViews>
  <sheetFormatPr defaultRowHeight="11.5" x14ac:dyDescent="0.25"/>
  <cols>
    <col min="1" max="1" width="4.8984375" customWidth="1"/>
    <col min="2" max="2" width="19.69921875" customWidth="1"/>
    <col min="3" max="3" width="40" customWidth="1"/>
    <col min="4" max="4" width="10" customWidth="1"/>
    <col min="5" max="5" width="16" customWidth="1"/>
    <col min="6" max="7" width="15.8984375" customWidth="1"/>
    <col min="8" max="8" width="18" customWidth="1"/>
    <col min="9" max="9" width="15.8984375" customWidth="1"/>
    <col min="10" max="10" width="16" customWidth="1"/>
    <col min="11" max="11" width="15.8984375" customWidth="1"/>
    <col min="12" max="12" width="17.3984375" customWidth="1"/>
    <col min="13" max="15" width="16.69921875" customWidth="1"/>
    <col min="16" max="16" width="17.09765625" customWidth="1"/>
    <col min="17" max="19" width="15.8984375" customWidth="1"/>
    <col min="20" max="20" width="16.69921875" customWidth="1"/>
    <col min="21" max="21" width="18.296875" customWidth="1"/>
    <col min="22" max="22" width="16.296875" customWidth="1"/>
  </cols>
  <sheetData>
    <row r="1" spans="1:22" ht="17.5" x14ac:dyDescent="0.35">
      <c r="A1" s="18" t="s">
        <v>41</v>
      </c>
      <c r="B1" s="18"/>
      <c r="C1" s="18"/>
      <c r="D1" s="3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8"/>
    </row>
    <row r="2" spans="1:22" ht="17.5" x14ac:dyDescent="0.35">
      <c r="A2" s="18" t="s">
        <v>0</v>
      </c>
      <c r="B2" s="18"/>
      <c r="C2" s="18"/>
      <c r="D2" s="3"/>
      <c r="E2" s="37"/>
      <c r="F2" s="37"/>
      <c r="G2" s="37"/>
      <c r="H2" s="37"/>
      <c r="I2" s="37"/>
      <c r="J2" s="37"/>
      <c r="K2" s="58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</row>
    <row r="3" spans="1:22" ht="18" x14ac:dyDescent="0.4">
      <c r="A3" s="958" t="s">
        <v>42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</row>
    <row r="4" spans="1:22" ht="18" x14ac:dyDescent="0.25">
      <c r="A4" s="959" t="s">
        <v>319</v>
      </c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</row>
    <row r="5" spans="1:22" ht="29.5" thickBot="1" x14ac:dyDescent="0.45">
      <c r="A5" s="662" t="s">
        <v>1</v>
      </c>
      <c r="B5" s="973" t="s">
        <v>2</v>
      </c>
      <c r="C5" s="974"/>
      <c r="D5" s="665" t="s">
        <v>3</v>
      </c>
      <c r="E5" s="666" t="s">
        <v>320</v>
      </c>
      <c r="F5" s="666" t="s">
        <v>321</v>
      </c>
      <c r="G5" s="666" t="s">
        <v>322</v>
      </c>
      <c r="H5" s="666" t="s">
        <v>323</v>
      </c>
      <c r="I5" s="666" t="s">
        <v>324</v>
      </c>
      <c r="J5" s="666" t="s">
        <v>325</v>
      </c>
      <c r="K5" s="666" t="s">
        <v>326</v>
      </c>
      <c r="L5" s="666" t="s">
        <v>327</v>
      </c>
      <c r="M5" s="666" t="s">
        <v>328</v>
      </c>
      <c r="N5" s="666" t="s">
        <v>329</v>
      </c>
      <c r="O5" s="666" t="s">
        <v>330</v>
      </c>
      <c r="P5" s="666" t="s">
        <v>331</v>
      </c>
      <c r="Q5" s="666" t="s">
        <v>332</v>
      </c>
      <c r="R5" s="666" t="s">
        <v>333</v>
      </c>
      <c r="S5" s="666" t="s">
        <v>334</v>
      </c>
      <c r="T5" s="666" t="s">
        <v>335</v>
      </c>
      <c r="U5" s="667" t="s">
        <v>46</v>
      </c>
      <c r="V5" s="668" t="s">
        <v>58</v>
      </c>
    </row>
    <row r="6" spans="1:22" ht="31.5" thickTop="1" x14ac:dyDescent="0.35">
      <c r="A6" s="663"/>
      <c r="B6" s="975"/>
      <c r="C6" s="976"/>
      <c r="D6" s="590" t="s">
        <v>4</v>
      </c>
      <c r="E6" s="583"/>
      <c r="F6" s="583"/>
      <c r="G6" s="583"/>
      <c r="H6" s="584" t="s">
        <v>45</v>
      </c>
      <c r="I6" s="585"/>
      <c r="J6" s="585"/>
      <c r="K6" s="585"/>
      <c r="L6" s="584" t="s">
        <v>45</v>
      </c>
      <c r="M6" s="585"/>
      <c r="N6" s="585"/>
      <c r="O6" s="585"/>
      <c r="P6" s="584" t="s">
        <v>45</v>
      </c>
      <c r="Q6" s="585"/>
      <c r="R6" s="585"/>
      <c r="S6" s="585"/>
      <c r="T6" s="584" t="s">
        <v>45</v>
      </c>
      <c r="U6" s="586" t="s">
        <v>53</v>
      </c>
      <c r="V6" s="587" t="s">
        <v>53</v>
      </c>
    </row>
    <row r="7" spans="1:22" ht="30" customHeight="1" x14ac:dyDescent="0.25">
      <c r="A7" s="711" t="s">
        <v>5</v>
      </c>
      <c r="B7" s="982" t="s">
        <v>6</v>
      </c>
      <c r="C7" s="982"/>
      <c r="D7" s="712"/>
      <c r="E7" s="713">
        <v>20</v>
      </c>
      <c r="F7" s="713">
        <v>20</v>
      </c>
      <c r="G7" s="326">
        <v>22</v>
      </c>
      <c r="H7" s="536">
        <f t="shared" ref="H7:H15" si="0">AVERAGE(E7:G7)</f>
        <v>20.666666666666668</v>
      </c>
      <c r="I7" s="326">
        <v>21</v>
      </c>
      <c r="J7" s="326">
        <v>20</v>
      </c>
      <c r="K7" s="326">
        <v>21</v>
      </c>
      <c r="L7" s="548">
        <f>AVERAGE(I7:K7)</f>
        <v>20.666666666666668</v>
      </c>
      <c r="M7" s="326">
        <v>23</v>
      </c>
      <c r="N7" s="326">
        <v>21</v>
      </c>
      <c r="O7" s="326">
        <v>22</v>
      </c>
      <c r="P7" s="536">
        <f>AVERAGE(M7:O7)</f>
        <v>22</v>
      </c>
      <c r="Q7" s="502">
        <v>22</v>
      </c>
      <c r="R7" s="502">
        <v>20</v>
      </c>
      <c r="S7" s="502">
        <v>22</v>
      </c>
      <c r="T7" s="536">
        <f>AVERAGE(Q7:S7)</f>
        <v>21.333333333333332</v>
      </c>
      <c r="U7" s="553">
        <f>SUM(E7:G7,I7:K7,M7:O7,Q7:S7)</f>
        <v>254</v>
      </c>
      <c r="V7" s="554">
        <f>AVERAGE(E7:G7,I7:K7,M7:O7,Q7:S7)</f>
        <v>21.166666666666668</v>
      </c>
    </row>
    <row r="8" spans="1:22" ht="30" customHeight="1" x14ac:dyDescent="0.25">
      <c r="A8" s="714" t="s">
        <v>7</v>
      </c>
      <c r="B8" s="983" t="s">
        <v>40</v>
      </c>
      <c r="C8" s="983"/>
      <c r="D8" s="715"/>
      <c r="E8" s="716">
        <v>44</v>
      </c>
      <c r="F8" s="716">
        <v>44</v>
      </c>
      <c r="G8" s="504">
        <v>44</v>
      </c>
      <c r="H8" s="537">
        <f t="shared" si="0"/>
        <v>44</v>
      </c>
      <c r="I8" s="504">
        <v>44</v>
      </c>
      <c r="J8" s="504">
        <v>43</v>
      </c>
      <c r="K8" s="504">
        <v>43</v>
      </c>
      <c r="L8" s="549">
        <f>AVERAGE(I8:K8)</f>
        <v>43.333333333333336</v>
      </c>
      <c r="M8" s="504">
        <v>42</v>
      </c>
      <c r="N8" s="504">
        <v>41</v>
      </c>
      <c r="O8" s="504">
        <v>41</v>
      </c>
      <c r="P8" s="537">
        <f>AVERAGE(M8:O8)</f>
        <v>41.333333333333336</v>
      </c>
      <c r="Q8" s="505">
        <v>40</v>
      </c>
      <c r="R8" s="505">
        <v>40</v>
      </c>
      <c r="S8" s="505">
        <v>40</v>
      </c>
      <c r="T8" s="537">
        <f>AVERAGE(Q8:S8)</f>
        <v>40</v>
      </c>
      <c r="U8" s="555" t="s">
        <v>11</v>
      </c>
      <c r="V8" s="556">
        <f>AVERAGE(E8:G8,I8:K8,M8:O8,Q8:S8)</f>
        <v>42.166666666666664</v>
      </c>
    </row>
    <row r="9" spans="1:22" ht="33" customHeight="1" x14ac:dyDescent="0.35">
      <c r="A9" s="711" t="s">
        <v>12</v>
      </c>
      <c r="B9" s="717" t="s">
        <v>27</v>
      </c>
      <c r="C9" s="718" t="s">
        <v>181</v>
      </c>
      <c r="D9" s="719" t="s">
        <v>9</v>
      </c>
      <c r="E9" s="720">
        <v>141248.29999999999</v>
      </c>
      <c r="F9" s="720">
        <v>136832</v>
      </c>
      <c r="G9" s="444">
        <v>157185.20000000001</v>
      </c>
      <c r="H9" s="538">
        <f t="shared" si="0"/>
        <v>145088.5</v>
      </c>
      <c r="I9" s="444">
        <v>155281.60000000001</v>
      </c>
      <c r="J9" s="444">
        <v>144373.489</v>
      </c>
      <c r="K9" s="444">
        <v>162608</v>
      </c>
      <c r="L9" s="493">
        <f>AVERAGE(I9:K9)</f>
        <v>154087.69633333336</v>
      </c>
      <c r="M9" s="669">
        <v>159432.64499999999</v>
      </c>
      <c r="N9" s="444">
        <v>145867.54699999999</v>
      </c>
      <c r="O9" s="670">
        <v>151435.53700000001</v>
      </c>
      <c r="P9" s="538">
        <f>AVERAGE(M9:O9)</f>
        <v>152245.24299999999</v>
      </c>
      <c r="Q9" s="508">
        <v>159409.29399999999</v>
      </c>
      <c r="R9" s="508">
        <v>154492.19500000001</v>
      </c>
      <c r="S9" s="508">
        <v>179350.535</v>
      </c>
      <c r="T9" s="538">
        <f>AVERAGE(Q9:S9)</f>
        <v>164417.34133333332</v>
      </c>
      <c r="U9" s="557">
        <f>SUM(E9:G9,I9:K9,M9:O9,Q9:S9)</f>
        <v>1847516.3419999999</v>
      </c>
      <c r="V9" s="558">
        <f>AVERAGE(E9:G9,I9:K9,M9:O9,Q9:S9)</f>
        <v>153959.69516666667</v>
      </c>
    </row>
    <row r="10" spans="1:22" ht="30" customHeight="1" x14ac:dyDescent="0.25">
      <c r="A10" s="711"/>
      <c r="B10" s="721" t="s">
        <v>28</v>
      </c>
      <c r="C10" s="722" t="s">
        <v>10</v>
      </c>
      <c r="D10" s="723"/>
      <c r="E10" s="724">
        <v>0.4229</v>
      </c>
      <c r="F10" s="724">
        <v>0.433</v>
      </c>
      <c r="G10" s="512">
        <v>0.43569999999999998</v>
      </c>
      <c r="H10" s="539">
        <f t="shared" si="0"/>
        <v>0.43053333333333327</v>
      </c>
      <c r="I10" s="513">
        <f>I9/I15</f>
        <v>0.43322694691496533</v>
      </c>
      <c r="J10" s="513">
        <f>J9/J15</f>
        <v>0.43165422135098963</v>
      </c>
      <c r="K10" s="513">
        <f>K9/K15</f>
        <v>0.44503870518653355</v>
      </c>
      <c r="L10" s="492">
        <f>SUM(I9:K9)/SUM(I15:K15)</f>
        <v>0.43680801087347404</v>
      </c>
      <c r="M10" s="513">
        <f>M9/M15</f>
        <v>0.42682249922553867</v>
      </c>
      <c r="N10" s="513">
        <f>N9/N15</f>
        <v>0.43028657517674912</v>
      </c>
      <c r="O10" s="513">
        <f>O9/O15</f>
        <v>0.42751188305766774</v>
      </c>
      <c r="P10" s="539">
        <f>SUM(M9:O9)/SUM(M15:O15)</f>
        <v>0.42815224729330142</v>
      </c>
      <c r="Q10" s="513">
        <f>Q9/Q15</f>
        <v>0.43032320893057452</v>
      </c>
      <c r="R10" s="513">
        <f>R9/R15</f>
        <v>0.43039776521064871</v>
      </c>
      <c r="S10" s="513">
        <f>S9/S15</f>
        <v>0.43896005609038602</v>
      </c>
      <c r="T10" s="539">
        <f>SUM(Q9:S9)/SUM(Q15:S15)</f>
        <v>0.43344771906527868</v>
      </c>
      <c r="U10" s="559" t="s">
        <v>11</v>
      </c>
      <c r="V10" s="560">
        <f>U9/U15</f>
        <v>0.43228480192847318</v>
      </c>
    </row>
    <row r="11" spans="1:22" ht="33" customHeight="1" x14ac:dyDescent="0.35">
      <c r="A11" s="714"/>
      <c r="B11" s="984" t="s">
        <v>29</v>
      </c>
      <c r="C11" s="725" t="s">
        <v>181</v>
      </c>
      <c r="D11" s="726" t="s">
        <v>9</v>
      </c>
      <c r="E11" s="727">
        <v>118426.3</v>
      </c>
      <c r="F11" s="727">
        <v>111202.9</v>
      </c>
      <c r="G11" s="495">
        <v>127825.60000000001</v>
      </c>
      <c r="H11" s="540">
        <f t="shared" si="0"/>
        <v>119151.60000000002</v>
      </c>
      <c r="I11" s="495">
        <v>128192.872</v>
      </c>
      <c r="J11" s="495">
        <v>119058.36199999999</v>
      </c>
      <c r="K11" s="495">
        <v>126594.7</v>
      </c>
      <c r="L11" s="494">
        <f>AVERAGE(I11:K11)</f>
        <v>124615.31133333333</v>
      </c>
      <c r="M11" s="600">
        <v>134980.584</v>
      </c>
      <c r="N11" s="516">
        <v>122603.47100000001</v>
      </c>
      <c r="O11" s="516">
        <v>127902.624</v>
      </c>
      <c r="P11" s="540">
        <f>AVERAGE(M11:O11)</f>
        <v>128495.55966666667</v>
      </c>
      <c r="Q11" s="495">
        <v>132342.932</v>
      </c>
      <c r="R11" s="495">
        <v>125834.164</v>
      </c>
      <c r="S11" s="495">
        <v>144705.46299999999</v>
      </c>
      <c r="T11" s="540">
        <f>AVERAGE(Q11:S11)</f>
        <v>134294.18633333335</v>
      </c>
      <c r="U11" s="561">
        <f>SUM(E11:G11,I11:K11,M11:O11,Q11:S11)</f>
        <v>1519669.9720000001</v>
      </c>
      <c r="V11" s="562">
        <f>AVERAGE(E11:G11,I11:K11,M11:O11,Q11:S11)</f>
        <v>126639.16433333333</v>
      </c>
    </row>
    <row r="12" spans="1:22" ht="30" customHeight="1" x14ac:dyDescent="0.25">
      <c r="A12" s="714"/>
      <c r="B12" s="984"/>
      <c r="C12" s="728" t="s">
        <v>10</v>
      </c>
      <c r="D12" s="729"/>
      <c r="E12" s="730">
        <v>0.35449999999999998</v>
      </c>
      <c r="F12" s="730">
        <v>0.35189999999999999</v>
      </c>
      <c r="G12" s="519">
        <v>0.3543</v>
      </c>
      <c r="H12" s="541">
        <f t="shared" si="0"/>
        <v>0.35356666666666664</v>
      </c>
      <c r="I12" s="519">
        <f>I11/I15</f>
        <v>0.35765091648219072</v>
      </c>
      <c r="J12" s="519">
        <f>J11/J15</f>
        <v>0.35596593876341276</v>
      </c>
      <c r="K12" s="519">
        <f>K11/K15</f>
        <v>0.34647459763036048</v>
      </c>
      <c r="L12" s="491">
        <f>SUM(I11:K11)/SUM(I15:K15)</f>
        <v>0.35325965384113994</v>
      </c>
      <c r="M12" s="597">
        <f>M11/M15</f>
        <v>0.36136106385115019</v>
      </c>
      <c r="N12" s="519">
        <f t="shared" ref="N12:O12" si="1">N11/N15</f>
        <v>0.36166116950860833</v>
      </c>
      <c r="O12" s="519">
        <f t="shared" si="1"/>
        <v>0.36107701479776733</v>
      </c>
      <c r="P12" s="541">
        <f>SUM(M11:O11)/SUM(M15:O15)</f>
        <v>0.36136211256527628</v>
      </c>
      <c r="Q12" s="519">
        <f>Q11/Q15</f>
        <v>0.35725793489506841</v>
      </c>
      <c r="R12" s="519">
        <f>R11/R15</f>
        <v>0.35055973521995892</v>
      </c>
      <c r="S12" s="519">
        <f>S11/S15</f>
        <v>0.3541663154507193</v>
      </c>
      <c r="T12" s="541">
        <f>SUM(Q11:S11)/SUM(Q15:S15)</f>
        <v>0.35403509312256282</v>
      </c>
      <c r="U12" s="563" t="s">
        <v>11</v>
      </c>
      <c r="V12" s="564">
        <f>U11/U15</f>
        <v>0.35557478865465342</v>
      </c>
    </row>
    <row r="13" spans="1:22" ht="33" customHeight="1" x14ac:dyDescent="0.35">
      <c r="A13" s="711"/>
      <c r="B13" s="981" t="s">
        <v>30</v>
      </c>
      <c r="C13" s="718" t="s">
        <v>181</v>
      </c>
      <c r="D13" s="719" t="s">
        <v>9</v>
      </c>
      <c r="E13" s="720">
        <v>73218.2</v>
      </c>
      <c r="F13" s="720">
        <v>66836.100000000006</v>
      </c>
      <c r="G13" s="444">
        <v>74324.399999999994</v>
      </c>
      <c r="H13" s="538">
        <f t="shared" si="0"/>
        <v>71459.566666666666</v>
      </c>
      <c r="I13" s="444">
        <v>73577.278999999995</v>
      </c>
      <c r="J13" s="444">
        <v>69766.150999999998</v>
      </c>
      <c r="K13" s="444">
        <v>74668.356</v>
      </c>
      <c r="L13" s="493">
        <f>AVERAGE(I13:K13)</f>
        <v>72670.595333333331</v>
      </c>
      <c r="M13" s="669">
        <v>77722.743000000002</v>
      </c>
      <c r="N13" s="200">
        <v>69221.392999999996</v>
      </c>
      <c r="O13" s="200">
        <v>73560.748000000007</v>
      </c>
      <c r="P13" s="538">
        <f>AVERAGE(M13:O13)</f>
        <v>73501.628000000012</v>
      </c>
      <c r="Q13" s="508">
        <v>77377.782000000007</v>
      </c>
      <c r="R13" s="508">
        <v>77235.154999999999</v>
      </c>
      <c r="S13" s="508">
        <v>83147.328999999998</v>
      </c>
      <c r="T13" s="538">
        <f>AVERAGE(Q13:S13)</f>
        <v>79253.422000000006</v>
      </c>
      <c r="U13" s="557">
        <f>SUM(E13:G13,I13:K13,M13:O13,Q13:S13)</f>
        <v>890655.63600000017</v>
      </c>
      <c r="V13" s="558">
        <f>AVERAGE(E13:G13,I13:K13,M13:O13,Q13:S13)</f>
        <v>74221.303000000014</v>
      </c>
    </row>
    <row r="14" spans="1:22" ht="30" customHeight="1" x14ac:dyDescent="0.25">
      <c r="A14" s="711"/>
      <c r="B14" s="981"/>
      <c r="C14" s="731" t="s">
        <v>10</v>
      </c>
      <c r="D14" s="732"/>
      <c r="E14" s="733">
        <v>0.21920000000000001</v>
      </c>
      <c r="F14" s="733">
        <v>0.21149999999999999</v>
      </c>
      <c r="G14" s="521">
        <v>0.20599999999999999</v>
      </c>
      <c r="H14" s="539">
        <f t="shared" si="0"/>
        <v>0.2122333333333333</v>
      </c>
      <c r="I14" s="521">
        <f>I13/I15</f>
        <v>0.20527647798245632</v>
      </c>
      <c r="J14" s="521">
        <f>J13/J15</f>
        <v>0.20858991353018119</v>
      </c>
      <c r="K14" s="521">
        <f>K13/K15</f>
        <v>0.20435838625803854</v>
      </c>
      <c r="L14" s="492">
        <f>SUM(I13:K13)/SUM(I15:K15)</f>
        <v>0.20600670236431853</v>
      </c>
      <c r="M14" s="521">
        <f>M13/M15</f>
        <v>0.20807417084452334</v>
      </c>
      <c r="N14" s="521">
        <f t="shared" ref="N14:O14" si="2">N13/N15</f>
        <v>0.20419234254301813</v>
      </c>
      <c r="O14" s="521">
        <f t="shared" si="2"/>
        <v>0.20766653930517356</v>
      </c>
      <c r="P14" s="539">
        <f>SUM(M13:O13)/SUM(M15:O15)</f>
        <v>0.20670522498963237</v>
      </c>
      <c r="Q14" s="513">
        <f>Q13/Q15</f>
        <v>0.20888026422205003</v>
      </c>
      <c r="R14" s="513">
        <f>R13/R15</f>
        <v>0.2151683980391246</v>
      </c>
      <c r="S14" s="513">
        <f>S13/S15</f>
        <v>0.20350291233647996</v>
      </c>
      <c r="T14" s="539">
        <f>SUM(Q13:S13)/SUM(Q15:S15)</f>
        <v>0.20893304024648857</v>
      </c>
      <c r="U14" s="565" t="s">
        <v>11</v>
      </c>
      <c r="V14" s="566">
        <f>U13/U15</f>
        <v>0.20839701735896113</v>
      </c>
    </row>
    <row r="15" spans="1:22" ht="30" customHeight="1" x14ac:dyDescent="0.25">
      <c r="A15" s="714" t="s">
        <v>17</v>
      </c>
      <c r="B15" s="734" t="s">
        <v>13</v>
      </c>
      <c r="C15" s="734" t="s">
        <v>8</v>
      </c>
      <c r="D15" s="735" t="s">
        <v>9</v>
      </c>
      <c r="E15" s="736">
        <v>334031.7</v>
      </c>
      <c r="F15" s="736">
        <v>316019.09999999998</v>
      </c>
      <c r="G15" s="524">
        <v>360781</v>
      </c>
      <c r="H15" s="542">
        <f t="shared" si="0"/>
        <v>336943.93333333335</v>
      </c>
      <c r="I15" s="524">
        <f>I17+I19</f>
        <v>358430.15100000001</v>
      </c>
      <c r="J15" s="524">
        <f>J17+J19</f>
        <v>334465.60200000001</v>
      </c>
      <c r="K15" s="524">
        <f>K17+K19</f>
        <v>365379.45600000001</v>
      </c>
      <c r="L15" s="550">
        <f>AVERAGE(I15:K15)</f>
        <v>352758.40299999999</v>
      </c>
      <c r="M15" s="524">
        <f>M17+M19</f>
        <v>373533.83500000002</v>
      </c>
      <c r="N15" s="524">
        <f t="shared" ref="N15:O15" si="3">N17+N19</f>
        <v>339000.92499999999</v>
      </c>
      <c r="O15" s="524">
        <f t="shared" si="3"/>
        <v>354225.32800000004</v>
      </c>
      <c r="P15" s="542">
        <f>AVERAGE(M15:O15)</f>
        <v>355586.696</v>
      </c>
      <c r="Q15" s="524">
        <f>Q17+Q19</f>
        <v>370440.84700000001</v>
      </c>
      <c r="R15" s="524">
        <f>R17+R19</f>
        <v>358952.13099999999</v>
      </c>
      <c r="S15" s="524">
        <f>S17+S19</f>
        <v>408580.53600000002</v>
      </c>
      <c r="T15" s="542">
        <f>AVERAGE(Q15:S15)</f>
        <v>379324.50466666667</v>
      </c>
      <c r="U15" s="567">
        <f>SUM(E15:G15,I15:K15,M15:O15,Q15:S15)</f>
        <v>4273840.6110000005</v>
      </c>
      <c r="V15" s="567">
        <f>AVERAGE(E15:G15,I15:K15,M15:O15,Q15:S15)</f>
        <v>356153.38425000006</v>
      </c>
    </row>
    <row r="16" spans="1:22" ht="30" customHeight="1" x14ac:dyDescent="0.25">
      <c r="A16" s="714"/>
      <c r="B16" s="737" t="s">
        <v>14</v>
      </c>
      <c r="C16" s="737" t="s">
        <v>15</v>
      </c>
      <c r="D16" s="716" t="s">
        <v>9</v>
      </c>
      <c r="E16" s="738">
        <v>16701.599999999999</v>
      </c>
      <c r="F16" s="738">
        <v>15801</v>
      </c>
      <c r="G16" s="496">
        <v>16399.099999999999</v>
      </c>
      <c r="H16" s="543">
        <f>SUM(E15:G15)/SUM(E7:G7)</f>
        <v>16303.73870967742</v>
      </c>
      <c r="I16" s="496">
        <f>I15/I7</f>
        <v>17068.10242857143</v>
      </c>
      <c r="J16" s="496">
        <f>J15/J7</f>
        <v>16723.2801</v>
      </c>
      <c r="K16" s="496">
        <f>K15/K7</f>
        <v>17399.021714285715</v>
      </c>
      <c r="L16" s="497">
        <f>SUM(I15:K15)/SUM(I7:K7)</f>
        <v>17068.954983870968</v>
      </c>
      <c r="M16" s="496">
        <f>M15/M7</f>
        <v>16240.60152173913</v>
      </c>
      <c r="N16" s="496">
        <f t="shared" ref="N16:O16" si="4">N15/N7</f>
        <v>16142.90119047619</v>
      </c>
      <c r="O16" s="496">
        <f t="shared" si="4"/>
        <v>16101.151272727275</v>
      </c>
      <c r="P16" s="543">
        <f>SUM(M15:O15)/SUM(M7:O7)</f>
        <v>16163.031636363636</v>
      </c>
      <c r="Q16" s="496">
        <f>Q15/Q7</f>
        <v>16838.220318181819</v>
      </c>
      <c r="R16" s="496">
        <f>R15/R7</f>
        <v>17947.60655</v>
      </c>
      <c r="S16" s="496">
        <f>S15/S7</f>
        <v>18571.842545454547</v>
      </c>
      <c r="T16" s="543">
        <f>SUM(Q15:S15)/SUM(Q7:S7)</f>
        <v>17780.836156249999</v>
      </c>
      <c r="U16" s="568" t="s">
        <v>11</v>
      </c>
      <c r="V16" s="569">
        <f>U15/U7</f>
        <v>16826.144137795276</v>
      </c>
    </row>
    <row r="17" spans="1:22" ht="30" customHeight="1" x14ac:dyDescent="0.35">
      <c r="A17" s="739"/>
      <c r="B17" s="740" t="s">
        <v>36</v>
      </c>
      <c r="C17" s="718" t="s">
        <v>8</v>
      </c>
      <c r="D17" s="719" t="s">
        <v>9</v>
      </c>
      <c r="E17" s="741">
        <v>332892.79999999999</v>
      </c>
      <c r="F17" s="741">
        <v>314871</v>
      </c>
      <c r="G17" s="200">
        <v>359335.2</v>
      </c>
      <c r="H17" s="538">
        <f>AVERAGE(E17:G17)</f>
        <v>335699.66666666669</v>
      </c>
      <c r="I17" s="200">
        <f>I9+I11+I13</f>
        <v>357051.75099999999</v>
      </c>
      <c r="J17" s="200">
        <f>J9+J11+J13</f>
        <v>333198.00200000004</v>
      </c>
      <c r="K17" s="200">
        <f>K9+K11+K13</f>
        <v>363871.05599999998</v>
      </c>
      <c r="L17" s="493">
        <f>AVERAGE(I17:K17)</f>
        <v>351373.60299999994</v>
      </c>
      <c r="M17" s="200">
        <f>M9+M11+M13</f>
        <v>372135.97200000001</v>
      </c>
      <c r="N17" s="200">
        <f t="shared" ref="N17:O17" si="5">N9+N11+N13</f>
        <v>337692.41099999996</v>
      </c>
      <c r="O17" s="200">
        <f t="shared" si="5"/>
        <v>352898.90900000004</v>
      </c>
      <c r="P17" s="538">
        <f>AVERAGE(M17:O17)</f>
        <v>354242.43066666665</v>
      </c>
      <c r="Q17" s="200">
        <f>Q9+Q11+Q13</f>
        <v>369130.00800000003</v>
      </c>
      <c r="R17" s="200">
        <f t="shared" ref="R17:S17" si="6">R9+R11+R13</f>
        <v>357561.51399999997</v>
      </c>
      <c r="S17" s="200">
        <f t="shared" si="6"/>
        <v>407203.32700000005</v>
      </c>
      <c r="T17" s="538">
        <f>AVERAGE(Q17:S17)</f>
        <v>377964.94966666662</v>
      </c>
      <c r="U17" s="558">
        <f>SUM(E17:G17,I17:K17,M17:O17,Q17:S17)</f>
        <v>4257841.9499999993</v>
      </c>
      <c r="V17" s="558">
        <f>AVERAGE(E17:G17,I17:K17,M17:O17,Q18,Q18,Q17,Q17:S17)</f>
        <v>308464.93006152101</v>
      </c>
    </row>
    <row r="18" spans="1:22" ht="30" customHeight="1" x14ac:dyDescent="0.25">
      <c r="A18" s="742"/>
      <c r="B18" s="743" t="s">
        <v>32</v>
      </c>
      <c r="C18" s="744" t="s">
        <v>10</v>
      </c>
      <c r="D18" s="732"/>
      <c r="E18" s="733">
        <v>0.99660000000000004</v>
      </c>
      <c r="F18" s="733">
        <v>0.99639999999999995</v>
      </c>
      <c r="G18" s="521">
        <v>0.996</v>
      </c>
      <c r="H18" s="539">
        <f>AVERAGE(E18:G18)</f>
        <v>0.99633333333333329</v>
      </c>
      <c r="I18" s="521">
        <f>I17/I15</f>
        <v>0.99615434137961223</v>
      </c>
      <c r="J18" s="521">
        <f>J17/J15</f>
        <v>0.99621007364458369</v>
      </c>
      <c r="K18" s="521">
        <f>K17/K15</f>
        <v>0.99587168907493251</v>
      </c>
      <c r="L18" s="492">
        <f>SUM(I17:K17)/SUM(I15:K15)</f>
        <v>0.99607436707893238</v>
      </c>
      <c r="M18" s="521">
        <f>M17/M15</f>
        <v>0.9962577339212122</v>
      </c>
      <c r="N18" s="521">
        <f t="shared" ref="N18:O18" si="7">N17/N15</f>
        <v>0.99614008722837544</v>
      </c>
      <c r="O18" s="521">
        <f t="shared" si="7"/>
        <v>0.99625543716060871</v>
      </c>
      <c r="P18" s="539">
        <f>SUM(M17:O17)/SUM(M15:O15)</f>
        <v>0.99621958484820994</v>
      </c>
      <c r="Q18" s="513">
        <f>Q17/Q15</f>
        <v>0.99646140804769301</v>
      </c>
      <c r="R18" s="513">
        <f>R17/R15</f>
        <v>0.9961258984697321</v>
      </c>
      <c r="S18" s="513">
        <f>S17/S15</f>
        <v>0.99662928387758543</v>
      </c>
      <c r="T18" s="539">
        <f>SUM(Q17:S17)/SUM(Q15:S15)</f>
        <v>0.99641585243432995</v>
      </c>
      <c r="U18" s="565" t="s">
        <v>11</v>
      </c>
      <c r="V18" s="566">
        <f>U17/U15</f>
        <v>0.99625660794208748</v>
      </c>
    </row>
    <row r="19" spans="1:22" ht="30" customHeight="1" x14ac:dyDescent="0.35">
      <c r="A19" s="745"/>
      <c r="B19" s="746" t="s">
        <v>36</v>
      </c>
      <c r="C19" s="725" t="s">
        <v>8</v>
      </c>
      <c r="D19" s="726" t="s">
        <v>9</v>
      </c>
      <c r="E19" s="727">
        <v>1138.9000000000001</v>
      </c>
      <c r="F19" s="727">
        <v>1148.0999999999999</v>
      </c>
      <c r="G19" s="495">
        <v>1445.9</v>
      </c>
      <c r="H19" s="540">
        <f>AVERAGE(E19:G19)</f>
        <v>1244.3</v>
      </c>
      <c r="I19" s="495">
        <v>1378.4</v>
      </c>
      <c r="J19" s="495">
        <v>1267.5999999999999</v>
      </c>
      <c r="K19" s="495">
        <v>1508.4</v>
      </c>
      <c r="L19" s="494">
        <f>AVERAGE(I19:K19)</f>
        <v>1384.8</v>
      </c>
      <c r="M19" s="600">
        <v>1397.8630000000001</v>
      </c>
      <c r="N19" s="516">
        <v>1308.5139999999999</v>
      </c>
      <c r="O19" s="516">
        <v>1326.4190000000001</v>
      </c>
      <c r="P19" s="540">
        <f>AVERAGE(M19:O19)</f>
        <v>1344.2653333333335</v>
      </c>
      <c r="Q19" s="495">
        <v>1310.8389999999999</v>
      </c>
      <c r="R19" s="495">
        <v>1390.617</v>
      </c>
      <c r="S19" s="495">
        <v>1377.2090000000001</v>
      </c>
      <c r="T19" s="540">
        <f>AVERAGE(Q19:S19)</f>
        <v>1359.5550000000001</v>
      </c>
      <c r="U19" s="562">
        <f>SUM(E19:G19,I19:K19,M19:O19,Q19:S19)</f>
        <v>15998.760999999999</v>
      </c>
      <c r="V19" s="562">
        <f>AVERAGE(E19:G19,I19:K19,M19:O19,Q19:S19)</f>
        <v>1333.2300833333331</v>
      </c>
    </row>
    <row r="20" spans="1:22" ht="30" customHeight="1" x14ac:dyDescent="0.25">
      <c r="A20" s="747"/>
      <c r="B20" s="748" t="s">
        <v>31</v>
      </c>
      <c r="C20" s="749" t="s">
        <v>10</v>
      </c>
      <c r="D20" s="729"/>
      <c r="E20" s="730">
        <v>3.3999999999999998E-3</v>
      </c>
      <c r="F20" s="730">
        <v>3.5999999999999999E-3</v>
      </c>
      <c r="G20" s="519">
        <v>4.0000000000000001E-3</v>
      </c>
      <c r="H20" s="541">
        <f>AVERAGE(E20:G20)</f>
        <v>3.6666666666666666E-3</v>
      </c>
      <c r="I20" s="519">
        <f>I19/I15</f>
        <v>3.8456586203876584E-3</v>
      </c>
      <c r="J20" s="519">
        <f>J19/J15</f>
        <v>3.7899263554163633E-3</v>
      </c>
      <c r="K20" s="519">
        <f>K19/K15</f>
        <v>4.1283109250674459E-3</v>
      </c>
      <c r="L20" s="491">
        <f>SUM(I19:K19)/SUM(I15:K15)</f>
        <v>3.9256329210675097E-3</v>
      </c>
      <c r="M20" s="519">
        <f>M19/M15</f>
        <v>3.7422660787877491E-3</v>
      </c>
      <c r="N20" s="519">
        <f t="shared" ref="N20:O20" si="8">N19/N15</f>
        <v>3.8599127716244432E-3</v>
      </c>
      <c r="O20" s="519">
        <f t="shared" si="8"/>
        <v>3.744562839391315E-3</v>
      </c>
      <c r="P20" s="541">
        <f>SUM(M19:O19)/SUM(M15:O15)</f>
        <v>3.7804151517899687E-3</v>
      </c>
      <c r="Q20" s="519">
        <f>Q19/Q15</f>
        <v>3.5385919523070303E-3</v>
      </c>
      <c r="R20" s="519">
        <f>R19/R15</f>
        <v>3.874101530267834E-3</v>
      </c>
      <c r="S20" s="519">
        <f>S19/S15</f>
        <v>3.3707161224146025E-3</v>
      </c>
      <c r="T20" s="541">
        <f>SUM(Q19:S19)/SUM(Q15:S15)</f>
        <v>3.5841475656699685E-3</v>
      </c>
      <c r="U20" s="570" t="s">
        <v>11</v>
      </c>
      <c r="V20" s="564">
        <f>U19/U15</f>
        <v>3.743415456070689E-3</v>
      </c>
    </row>
    <row r="21" spans="1:22" ht="33" customHeight="1" x14ac:dyDescent="0.25">
      <c r="A21" s="711" t="s">
        <v>24</v>
      </c>
      <c r="B21" s="750" t="s">
        <v>37</v>
      </c>
      <c r="C21" s="750" t="s">
        <v>19</v>
      </c>
      <c r="D21" s="751" t="s">
        <v>16</v>
      </c>
      <c r="E21" s="752">
        <v>131112.70000000001</v>
      </c>
      <c r="F21" s="752">
        <v>130510.8</v>
      </c>
      <c r="G21" s="218">
        <v>147748.20000000001</v>
      </c>
      <c r="H21" s="544">
        <f>AVERAGE(E21:G21)</f>
        <v>136457.23333333334</v>
      </c>
      <c r="I21" s="218">
        <f>I23+I25</f>
        <v>140830.09999999998</v>
      </c>
      <c r="J21" s="218">
        <f>J23+J25</f>
        <v>134436.9</v>
      </c>
      <c r="K21" s="218">
        <f>K23+K25</f>
        <v>141124</v>
      </c>
      <c r="L21" s="499">
        <f>AVERAGE(I21:K21)</f>
        <v>138797</v>
      </c>
      <c r="M21" s="218">
        <f>M23+M25</f>
        <v>141787.38399999999</v>
      </c>
      <c r="N21" s="218">
        <f t="shared" ref="N21:O21" si="9">N23+N25</f>
        <v>129331.795</v>
      </c>
      <c r="O21" s="218">
        <f t="shared" si="9"/>
        <v>137631.20599999998</v>
      </c>
      <c r="P21" s="544">
        <f>AVERAGE(M21:O21)</f>
        <v>136250.12833333333</v>
      </c>
      <c r="Q21" s="531">
        <f>Q23+Q25</f>
        <v>142439.94200000001</v>
      </c>
      <c r="R21" s="531">
        <f>R23+R25</f>
        <v>139312.84899999999</v>
      </c>
      <c r="S21" s="531">
        <f>S23+S25</f>
        <v>151735.22399999999</v>
      </c>
      <c r="T21" s="544">
        <f>AVERAGE(Q21:S21)</f>
        <v>144496.00499999998</v>
      </c>
      <c r="U21" s="571">
        <f>SUM(E21:G21,I21:K21,M21:O21,Q21:S21)</f>
        <v>1668001.0999999999</v>
      </c>
      <c r="V21" s="572">
        <f>AVERAGE(E21:G21,I21:K21,M21:O21,Q21:S21)</f>
        <v>139000.09166666665</v>
      </c>
    </row>
    <row r="22" spans="1:22" ht="30" customHeight="1" x14ac:dyDescent="0.25">
      <c r="A22" s="711"/>
      <c r="B22" s="753" t="s">
        <v>14</v>
      </c>
      <c r="C22" s="753" t="s">
        <v>38</v>
      </c>
      <c r="D22" s="713" t="s">
        <v>16</v>
      </c>
      <c r="E22" s="754">
        <v>6555.6</v>
      </c>
      <c r="F22" s="754">
        <v>6525.5</v>
      </c>
      <c r="G22" s="221">
        <v>6715.8</v>
      </c>
      <c r="H22" s="545">
        <f>SUM(E21:G21)/SUM(E7:G7)</f>
        <v>6602.7693548387097</v>
      </c>
      <c r="I22" s="221">
        <f>I21/I7</f>
        <v>6706.1952380952371</v>
      </c>
      <c r="J22" s="221">
        <f>J21/J7</f>
        <v>6721.8449999999993</v>
      </c>
      <c r="K22" s="221">
        <f>K21/K7</f>
        <v>6720.1904761904761</v>
      </c>
      <c r="L22" s="551">
        <f>SUM(I21:K21)/SUM(I7:K7)</f>
        <v>6715.9838709677415</v>
      </c>
      <c r="M22" s="221">
        <f>M21/M7</f>
        <v>6164.6688695652174</v>
      </c>
      <c r="N22" s="221">
        <f t="shared" ref="N22:O22" si="10">N21/N7</f>
        <v>6158.656904761905</v>
      </c>
      <c r="O22" s="221">
        <f t="shared" si="10"/>
        <v>6255.9639090909077</v>
      </c>
      <c r="P22" s="545">
        <f>SUM(M21:O21)/SUM(M7:O7)</f>
        <v>6193.1876515151516</v>
      </c>
      <c r="Q22" s="532">
        <f>Q21/Q7</f>
        <v>6474.5428181818188</v>
      </c>
      <c r="R22" s="532">
        <f>R21/R7</f>
        <v>6965.6424499999994</v>
      </c>
      <c r="S22" s="532">
        <f>S21/S7</f>
        <v>6897.055636363636</v>
      </c>
      <c r="T22" s="545">
        <f>SUM(Q21:S21)/SUM(Q7:S7)</f>
        <v>6773.2502343749993</v>
      </c>
      <c r="U22" s="573" t="s">
        <v>11</v>
      </c>
      <c r="V22" s="574">
        <f>U21/U7</f>
        <v>6566.9334645669287</v>
      </c>
    </row>
    <row r="23" spans="1:22" ht="33" customHeight="1" x14ac:dyDescent="0.35">
      <c r="A23" s="745"/>
      <c r="B23" s="746" t="s">
        <v>36</v>
      </c>
      <c r="C23" s="725" t="s">
        <v>19</v>
      </c>
      <c r="D23" s="726" t="s">
        <v>16</v>
      </c>
      <c r="E23" s="727">
        <v>129448.7</v>
      </c>
      <c r="F23" s="727">
        <v>128889.2</v>
      </c>
      <c r="G23" s="495">
        <v>145862.29999999999</v>
      </c>
      <c r="H23" s="540">
        <f>AVERAGE(E23:G23)</f>
        <v>134733.4</v>
      </c>
      <c r="I23" s="495">
        <v>139117.29999999999</v>
      </c>
      <c r="J23" s="495">
        <v>132757.9</v>
      </c>
      <c r="K23" s="495">
        <v>139325.70000000001</v>
      </c>
      <c r="L23" s="494">
        <f>AVERAGE(I23:K23)</f>
        <v>137066.96666666665</v>
      </c>
      <c r="M23" s="516">
        <v>139969.82699999999</v>
      </c>
      <c r="N23" s="516">
        <v>127592.974</v>
      </c>
      <c r="O23" s="516">
        <v>135912.19399999999</v>
      </c>
      <c r="P23" s="540">
        <f>+AVERAGE(M23:O23)</f>
        <v>134491.66500000001</v>
      </c>
      <c r="Q23" s="495">
        <v>140686.473</v>
      </c>
      <c r="R23" s="495">
        <v>137558.818</v>
      </c>
      <c r="S23" s="495">
        <v>149883.71299999999</v>
      </c>
      <c r="T23" s="540">
        <f>+AVERAGE(Q23:S23)</f>
        <v>142709.66799999998</v>
      </c>
      <c r="U23" s="562">
        <f>SUM(E23:G23,I23:K23,M23:O23,Q23:S23)</f>
        <v>1647005.0989999999</v>
      </c>
      <c r="V23" s="562">
        <f>AVERAGE(E23:G23,I23:K23,L23:O24)</f>
        <v>96853.357889189268</v>
      </c>
    </row>
    <row r="24" spans="1:22" ht="30" customHeight="1" x14ac:dyDescent="0.25">
      <c r="A24" s="747"/>
      <c r="B24" s="748" t="s">
        <v>32</v>
      </c>
      <c r="C24" s="749" t="s">
        <v>21</v>
      </c>
      <c r="D24" s="729"/>
      <c r="E24" s="730">
        <v>0.98729999999999996</v>
      </c>
      <c r="F24" s="730">
        <v>0.98760000000000003</v>
      </c>
      <c r="G24" s="519">
        <v>0.98719999999999997</v>
      </c>
      <c r="H24" s="541">
        <f>SUM(E23:G23)/SUM(E21:G21)</f>
        <v>0.98736722641061891</v>
      </c>
      <c r="I24" s="519">
        <f>I23/I21</f>
        <v>0.98783782728266201</v>
      </c>
      <c r="J24" s="519">
        <f>J23/J21</f>
        <v>0.9875108694115976</v>
      </c>
      <c r="K24" s="519">
        <f>K23/K21</f>
        <v>0.9872573056319266</v>
      </c>
      <c r="L24" s="491">
        <f>SUM(I23:K23)/SUM(I21:K21)</f>
        <v>0.98753551349572866</v>
      </c>
      <c r="M24" s="519">
        <f>M23/M21</f>
        <v>0.98718110914578971</v>
      </c>
      <c r="N24" s="519">
        <f t="shared" ref="N24:O24" si="11">N23/N21</f>
        <v>0.98655534781683041</v>
      </c>
      <c r="O24" s="519">
        <f t="shared" si="11"/>
        <v>0.98751001280915907</v>
      </c>
      <c r="P24" s="541">
        <f>SUM(M23:O23)/SUM(M21:O21)</f>
        <v>0.98709385925104387</v>
      </c>
      <c r="Q24" s="519">
        <f>Q23/Q21</f>
        <v>0.98768976611911274</v>
      </c>
      <c r="R24" s="519">
        <f>R23/R21</f>
        <v>0.98740940973793456</v>
      </c>
      <c r="S24" s="519">
        <f>S23/S21</f>
        <v>0.98779775090324451</v>
      </c>
      <c r="T24" s="541">
        <f>SUM(Q23:S23)/SUM(Q21:S21)</f>
        <v>0.98763746444062583</v>
      </c>
      <c r="U24" s="575" t="s">
        <v>11</v>
      </c>
      <c r="V24" s="564">
        <f>U23/U21</f>
        <v>0.98741247772558427</v>
      </c>
    </row>
    <row r="25" spans="1:22" ht="33" customHeight="1" x14ac:dyDescent="0.35">
      <c r="A25" s="739"/>
      <c r="B25" s="740" t="s">
        <v>36</v>
      </c>
      <c r="C25" s="718" t="s">
        <v>19</v>
      </c>
      <c r="D25" s="719" t="s">
        <v>16</v>
      </c>
      <c r="E25" s="720">
        <v>1664</v>
      </c>
      <c r="F25" s="720">
        <v>1621.6</v>
      </c>
      <c r="G25" s="444">
        <v>1885.9</v>
      </c>
      <c r="H25" s="538">
        <f>AVERAGE(E25:G25)</f>
        <v>1723.8333333333333</v>
      </c>
      <c r="I25" s="444">
        <v>1712.8</v>
      </c>
      <c r="J25" s="444">
        <v>1679</v>
      </c>
      <c r="K25" s="444">
        <v>1798.3</v>
      </c>
      <c r="L25" s="493">
        <f>AVERAGE(I25:K25)</f>
        <v>1730.0333333333335</v>
      </c>
      <c r="M25" s="444">
        <v>1817.557</v>
      </c>
      <c r="N25" s="200">
        <v>1738.8209999999999</v>
      </c>
      <c r="O25" s="200">
        <v>1719.0119999999999</v>
      </c>
      <c r="P25" s="538">
        <f>AVERAGE(M25:O25)</f>
        <v>1758.4633333333331</v>
      </c>
      <c r="Q25" s="508">
        <v>1753.4690000000001</v>
      </c>
      <c r="R25" s="508">
        <v>1754.0309999999999</v>
      </c>
      <c r="S25" s="508">
        <v>1851.511</v>
      </c>
      <c r="T25" s="538">
        <f>AVERAGE(Q25:S25)</f>
        <v>1786.3370000000002</v>
      </c>
      <c r="U25" s="558">
        <f>SUM(E25:G25,I25:K25,M25:O25,Q25:S25)</f>
        <v>20996.000999999997</v>
      </c>
      <c r="V25" s="576">
        <f>AVERAGE(E25:G25,I25:K25,M25:O25,Q25:S25)</f>
        <v>1749.6667499999996</v>
      </c>
    </row>
    <row r="26" spans="1:22" ht="30" customHeight="1" x14ac:dyDescent="0.25">
      <c r="A26" s="742"/>
      <c r="B26" s="743" t="s">
        <v>31</v>
      </c>
      <c r="C26" s="744" t="s">
        <v>21</v>
      </c>
      <c r="D26" s="732"/>
      <c r="E26" s="733">
        <v>1.2699999999999999E-2</v>
      </c>
      <c r="F26" s="733">
        <v>1.24E-2</v>
      </c>
      <c r="G26" s="521">
        <v>1.2800000000000001E-2</v>
      </c>
      <c r="H26" s="539">
        <f>SUM(E25:G25)/SUM(E21:G21)</f>
        <v>1.2632773589380995E-2</v>
      </c>
      <c r="I26" s="521">
        <f>I25/I21</f>
        <v>1.2162172717338127E-2</v>
      </c>
      <c r="J26" s="521">
        <f>J25/J21</f>
        <v>1.2489130588402441E-2</v>
      </c>
      <c r="K26" s="521">
        <f>K25/K21</f>
        <v>1.2742694368073466E-2</v>
      </c>
      <c r="L26" s="492">
        <f>SUM(I25:K25)/SUM(I21:K21)</f>
        <v>1.2464486504271228E-2</v>
      </c>
      <c r="M26" s="521">
        <f>M25/M21</f>
        <v>1.2818890854210273E-2</v>
      </c>
      <c r="N26" s="521">
        <f t="shared" ref="N26:O26" si="12">N25/N21</f>
        <v>1.3444652183169653E-2</v>
      </c>
      <c r="O26" s="521">
        <f t="shared" si="12"/>
        <v>1.2489987190841009E-2</v>
      </c>
      <c r="P26" s="539">
        <f>SUM(M25:O25)/SUM(M21:O21)</f>
        <v>1.2906140748956112E-2</v>
      </c>
      <c r="Q26" s="513">
        <f>Q25/Q21</f>
        <v>1.2310233880887145E-2</v>
      </c>
      <c r="R26" s="513">
        <f>R25/R21</f>
        <v>1.2590590262065491E-2</v>
      </c>
      <c r="S26" s="513">
        <f>S25/S21</f>
        <v>1.2202249096755545E-2</v>
      </c>
      <c r="T26" s="539">
        <f>SUM(Q25:S25)/SUM(Q21:S21)</f>
        <v>1.2362535559374117E-2</v>
      </c>
      <c r="U26" s="577" t="s">
        <v>11</v>
      </c>
      <c r="V26" s="565">
        <f>U25/U21</f>
        <v>1.2587522274415765E-2</v>
      </c>
    </row>
    <row r="27" spans="1:22" ht="33" customHeight="1" x14ac:dyDescent="0.25">
      <c r="A27" s="714" t="s">
        <v>33</v>
      </c>
      <c r="B27" s="734" t="s">
        <v>34</v>
      </c>
      <c r="C27" s="737" t="s">
        <v>18</v>
      </c>
      <c r="D27" s="716"/>
      <c r="E27" s="755">
        <v>1649</v>
      </c>
      <c r="F27" s="755">
        <v>1651</v>
      </c>
      <c r="G27" s="533">
        <v>1651</v>
      </c>
      <c r="H27" s="546">
        <f>AVERAGE(E27:G27)</f>
        <v>1650.3333333333333</v>
      </c>
      <c r="I27" s="533">
        <v>1651</v>
      </c>
      <c r="J27" s="533">
        <v>1616</v>
      </c>
      <c r="K27" s="533">
        <v>1617</v>
      </c>
      <c r="L27" s="552">
        <f>AVERAGE(I27:K27)</f>
        <v>1628</v>
      </c>
      <c r="M27" s="533">
        <v>1616</v>
      </c>
      <c r="N27" s="533">
        <v>1614</v>
      </c>
      <c r="O27" s="533">
        <v>1614</v>
      </c>
      <c r="P27" s="546">
        <f>AVERAGE(M27:O27)</f>
        <v>1614.6666666666667</v>
      </c>
      <c r="Q27" s="534">
        <v>1607</v>
      </c>
      <c r="R27" s="534">
        <v>1607</v>
      </c>
      <c r="S27" s="534">
        <v>1606</v>
      </c>
      <c r="T27" s="546">
        <f>AVERAGE(Q27:S27)</f>
        <v>1606.6666666666667</v>
      </c>
      <c r="U27" s="578" t="s">
        <v>11</v>
      </c>
      <c r="V27" s="579">
        <f>AVERAGE(E27:G27,I27:K27,M27:O27,Q27:S27)</f>
        <v>1624.9166666666667</v>
      </c>
    </row>
    <row r="28" spans="1:22" ht="30" customHeight="1" x14ac:dyDescent="0.25">
      <c r="A28" s="756"/>
      <c r="B28" s="756"/>
      <c r="C28" s="750" t="s">
        <v>19</v>
      </c>
      <c r="D28" s="751" t="s">
        <v>16</v>
      </c>
      <c r="E28" s="752">
        <v>131112.70000000001</v>
      </c>
      <c r="F28" s="752">
        <v>130510.8</v>
      </c>
      <c r="G28" s="218">
        <v>147748.20000000001</v>
      </c>
      <c r="H28" s="544">
        <f>AVERAGE(E28:G28)</f>
        <v>136457.23333333334</v>
      </c>
      <c r="I28" s="218">
        <f>I21</f>
        <v>140830.09999999998</v>
      </c>
      <c r="J28" s="218">
        <f>J21</f>
        <v>134436.9</v>
      </c>
      <c r="K28" s="218">
        <f>K21</f>
        <v>141124</v>
      </c>
      <c r="L28" s="499">
        <f>AVERAGE(I28:J28)</f>
        <v>137633.5</v>
      </c>
      <c r="M28" s="218">
        <f>M21</f>
        <v>141787.38399999999</v>
      </c>
      <c r="N28" s="218">
        <f t="shared" ref="N28:O28" si="13">N21</f>
        <v>129331.795</v>
      </c>
      <c r="O28" s="218">
        <f t="shared" si="13"/>
        <v>137631.20599999998</v>
      </c>
      <c r="P28" s="544">
        <f>AVERAGE(M28:O28)</f>
        <v>136250.12833333333</v>
      </c>
      <c r="Q28" s="531">
        <f>Q21</f>
        <v>142439.94200000001</v>
      </c>
      <c r="R28" s="531">
        <f>R21</f>
        <v>139312.84899999999</v>
      </c>
      <c r="S28" s="531">
        <f>S21</f>
        <v>151735.22399999999</v>
      </c>
      <c r="T28" s="544">
        <f>AVERAGE(Q28:S28)</f>
        <v>144496.00499999998</v>
      </c>
      <c r="U28" s="571">
        <f>SUM(E28:G28,I28:K28,M28:O28,Q28:S28)</f>
        <v>1668001.0999999999</v>
      </c>
      <c r="V28" s="571">
        <f>AVERAGE(E28:G28,I28:K28,M28:O28,Q28:S28)</f>
        <v>139000.09166666665</v>
      </c>
    </row>
    <row r="29" spans="1:22" ht="30" customHeight="1" x14ac:dyDescent="0.25">
      <c r="A29" s="757"/>
      <c r="B29" s="758"/>
      <c r="C29" s="737" t="s">
        <v>20</v>
      </c>
      <c r="D29" s="716" t="s">
        <v>16</v>
      </c>
      <c r="E29" s="738">
        <v>6555.6</v>
      </c>
      <c r="F29" s="738">
        <v>6525.5</v>
      </c>
      <c r="G29" s="496">
        <v>7387.4</v>
      </c>
      <c r="H29" s="543">
        <f>SUM(E28:G28)/SUM(E7:G7)</f>
        <v>6602.7693548387097</v>
      </c>
      <c r="I29" s="496">
        <f>I28/I7</f>
        <v>6706.1952380952371</v>
      </c>
      <c r="J29" s="496">
        <f>J28/J7</f>
        <v>6721.8449999999993</v>
      </c>
      <c r="K29" s="496">
        <f>K28/K7</f>
        <v>6720.1904761904761</v>
      </c>
      <c r="L29" s="497">
        <f>SUM(I28:K28)/SUM(I7:K7)</f>
        <v>6715.9838709677415</v>
      </c>
      <c r="M29" s="496">
        <f>M28/M7</f>
        <v>6164.6688695652174</v>
      </c>
      <c r="N29" s="496">
        <f t="shared" ref="N29:O29" si="14">N28/N7</f>
        <v>6158.656904761905</v>
      </c>
      <c r="O29" s="496">
        <f t="shared" si="14"/>
        <v>6255.9639090909077</v>
      </c>
      <c r="P29" s="543">
        <f>SUM(M28:O28)/SUM(M7:O7)</f>
        <v>6193.1876515151516</v>
      </c>
      <c r="Q29" s="496">
        <f>Q28/Q7</f>
        <v>6474.5428181818188</v>
      </c>
      <c r="R29" s="496">
        <f>R28/R7</f>
        <v>6965.6424499999994</v>
      </c>
      <c r="S29" s="496">
        <f>S28/S7</f>
        <v>6897.055636363636</v>
      </c>
      <c r="T29" s="543">
        <f>SUM(Q28:S28)/SUM(Q7:S7)</f>
        <v>6773.2502343749993</v>
      </c>
      <c r="U29" s="568" t="s">
        <v>11</v>
      </c>
      <c r="V29" s="569">
        <f>U28/U7</f>
        <v>6566.9334645669287</v>
      </c>
    </row>
    <row r="30" spans="1:22" ht="30" customHeight="1" x14ac:dyDescent="0.25">
      <c r="A30" s="756"/>
      <c r="B30" s="756"/>
      <c r="C30" s="753" t="s">
        <v>22</v>
      </c>
      <c r="D30" s="713" t="s">
        <v>219</v>
      </c>
      <c r="E30" s="754">
        <v>2547.6999999999998</v>
      </c>
      <c r="F30" s="754">
        <v>2421.4</v>
      </c>
      <c r="G30" s="221">
        <v>2441.9</v>
      </c>
      <c r="H30" s="545">
        <f>SUM(E31:G31)/SUM(E28:G28)*1000</f>
        <v>2469.2273549930296</v>
      </c>
      <c r="I30" s="221">
        <f>I31/I28*1000</f>
        <v>2545.1245933930322</v>
      </c>
      <c r="J30" s="221">
        <f>J31/J28*1000</f>
        <v>2487.9002863053229</v>
      </c>
      <c r="K30" s="221">
        <f>K31/K28*1000</f>
        <v>2589.0667498086791</v>
      </c>
      <c r="L30" s="551">
        <f>SUM(I31:K31)/SUM(I28:K28)*1000</f>
        <v>2541.5419857777906</v>
      </c>
      <c r="M30" s="221">
        <f>M31/M28*1000</f>
        <v>2634.4645374090551</v>
      </c>
      <c r="N30" s="221">
        <f>N31/N28*1000</f>
        <v>2621.1723497690573</v>
      </c>
      <c r="O30" s="221">
        <f>O31/O28*1000</f>
        <v>2573.7282865922143</v>
      </c>
      <c r="P30" s="545">
        <f>SUM(M31:O31)/SUM(M28:O28)*1000</f>
        <v>2609.8081546761114</v>
      </c>
      <c r="Q30" s="532">
        <f>Q31/Q28*1000</f>
        <v>2600.6809733185655</v>
      </c>
      <c r="R30" s="532">
        <f>R31/R28*1000</f>
        <v>2576.5902684252765</v>
      </c>
      <c r="S30" s="532">
        <f>S31/S28*1000</f>
        <v>2692.72041935365</v>
      </c>
      <c r="T30" s="545">
        <f>SUM(Q31:S31)/SUM(Q28:S28)*1000</f>
        <v>2625.1556551107883</v>
      </c>
      <c r="U30" s="664" t="s">
        <v>11</v>
      </c>
      <c r="V30" s="603">
        <f>U31/U28*1000</f>
        <v>2562.2528732145329</v>
      </c>
    </row>
    <row r="31" spans="1:22" ht="30" customHeight="1" x14ac:dyDescent="0.25">
      <c r="A31" s="757"/>
      <c r="B31" s="758"/>
      <c r="C31" s="734" t="s">
        <v>26</v>
      </c>
      <c r="D31" s="735" t="s">
        <v>9</v>
      </c>
      <c r="E31" s="736">
        <v>334031.7</v>
      </c>
      <c r="F31" s="736">
        <v>316019.09999999998</v>
      </c>
      <c r="G31" s="524">
        <v>360781</v>
      </c>
      <c r="H31" s="542">
        <f>AVERAGE(E31:G31)</f>
        <v>336943.93333333335</v>
      </c>
      <c r="I31" s="524">
        <f>I15</f>
        <v>358430.15100000001</v>
      </c>
      <c r="J31" s="524">
        <f>J15</f>
        <v>334465.60200000001</v>
      </c>
      <c r="K31" s="524">
        <f>K15</f>
        <v>365379.45600000001</v>
      </c>
      <c r="L31" s="550">
        <f>AVERAGE(I31:K31)</f>
        <v>352758.40299999999</v>
      </c>
      <c r="M31" s="524">
        <f>M15</f>
        <v>373533.83500000002</v>
      </c>
      <c r="N31" s="524">
        <f t="shared" ref="N31:O31" si="15">N15</f>
        <v>339000.92499999999</v>
      </c>
      <c r="O31" s="524">
        <f t="shared" si="15"/>
        <v>354225.32800000004</v>
      </c>
      <c r="P31" s="542">
        <f>AVERAGE(M31:O31)</f>
        <v>355586.696</v>
      </c>
      <c r="Q31" s="524">
        <f>Q15</f>
        <v>370440.84700000001</v>
      </c>
      <c r="R31" s="524">
        <f>R15</f>
        <v>358952.13099999999</v>
      </c>
      <c r="S31" s="524">
        <f>S15</f>
        <v>408580.53600000002</v>
      </c>
      <c r="T31" s="542">
        <f>AVERAGE(Q31:S31)</f>
        <v>379324.50466666667</v>
      </c>
      <c r="U31" s="567">
        <f>SUM(E31:G31,I31:K31,M31:O31,Q31:S31)</f>
        <v>4273840.6110000005</v>
      </c>
      <c r="V31" s="567">
        <f>AVERAGE(E31:G31,I31:K31,M31:O31,Q31:S31)</f>
        <v>356153.38425000006</v>
      </c>
    </row>
    <row r="32" spans="1:22" ht="30" customHeight="1" x14ac:dyDescent="0.25">
      <c r="A32" s="759"/>
      <c r="B32" s="759"/>
      <c r="C32" s="760" t="s">
        <v>20</v>
      </c>
      <c r="D32" s="761" t="s">
        <v>9</v>
      </c>
      <c r="E32" s="762">
        <v>16701.599999999999</v>
      </c>
      <c r="F32" s="762">
        <v>15801</v>
      </c>
      <c r="G32" s="763">
        <v>16399.099999999999</v>
      </c>
      <c r="H32" s="764">
        <f>SUM(E31:G31)/SUM(E7:G7)</f>
        <v>16303.73870967742</v>
      </c>
      <c r="I32" s="765">
        <f>I31/I7</f>
        <v>17068.10242857143</v>
      </c>
      <c r="J32" s="765">
        <f>J31/J7</f>
        <v>16723.2801</v>
      </c>
      <c r="K32" s="765">
        <f>K31/K7</f>
        <v>17399.021714285715</v>
      </c>
      <c r="L32" s="766">
        <f>SUM(I31:K31)/SUM(I7:K7)</f>
        <v>17068.954983870968</v>
      </c>
      <c r="M32" s="765">
        <f>M31/M7</f>
        <v>16240.60152173913</v>
      </c>
      <c r="N32" s="765">
        <f>N31/N7</f>
        <v>16142.90119047619</v>
      </c>
      <c r="O32" s="765">
        <f>O31/O7</f>
        <v>16101.151272727275</v>
      </c>
      <c r="P32" s="764">
        <f>SUM(M31:O31)/SUM(M7:O7)</f>
        <v>16163.031636363636</v>
      </c>
      <c r="Q32" s="767">
        <f>Q31/Q7</f>
        <v>16838.220318181819</v>
      </c>
      <c r="R32" s="767">
        <f>R31/R7</f>
        <v>17947.60655</v>
      </c>
      <c r="S32" s="767">
        <f>S31/S7</f>
        <v>18571.842545454547</v>
      </c>
      <c r="T32" s="764">
        <f>SUM(Q31:S31)/SUM(Q7:S7)</f>
        <v>17780.836156249999</v>
      </c>
      <c r="U32" s="768" t="s">
        <v>11</v>
      </c>
      <c r="V32" s="769">
        <f>U31/U7</f>
        <v>16826.144137795276</v>
      </c>
    </row>
  </sheetData>
  <mergeCells count="7">
    <mergeCell ref="B13:B14"/>
    <mergeCell ref="A3:V3"/>
    <mergeCell ref="A4:V4"/>
    <mergeCell ref="B5:C6"/>
    <mergeCell ref="B7:C7"/>
    <mergeCell ref="B8:C8"/>
    <mergeCell ref="B11:B12"/>
  </mergeCell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43" orientation="landscape" r:id="rId1"/>
  <ignoredErrors>
    <ignoredError sqref="L10:L32 P10:P32 T10:T26 V10:V31 H16:H26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26</vt:i4>
      </vt:variant>
      <vt:variant>
        <vt:lpstr>Nazwane zakresy</vt:lpstr>
      </vt:variant>
      <vt:variant>
        <vt:i4>15</vt:i4>
      </vt:variant>
    </vt:vector>
  </HeadingPairs>
  <TitlesOfParts>
    <vt:vector size="41" baseType="lpstr">
      <vt:lpstr>rok2023</vt:lpstr>
      <vt:lpstr>rok2022</vt:lpstr>
      <vt:lpstr>rok2021</vt:lpstr>
      <vt:lpstr>rok2020</vt:lpstr>
      <vt:lpstr>rok2019</vt:lpstr>
      <vt:lpstr>rok2018</vt:lpstr>
      <vt:lpstr>rok2017</vt:lpstr>
      <vt:lpstr>rok2016</vt:lpstr>
      <vt:lpstr>rok2015</vt:lpstr>
      <vt:lpstr>rok2014</vt:lpstr>
      <vt:lpstr>rok2013</vt:lpstr>
      <vt:lpstr>rok2012</vt:lpstr>
      <vt:lpstr>rok2011</vt:lpstr>
      <vt:lpstr>rok2010</vt:lpstr>
      <vt:lpstr>rok2009</vt:lpstr>
      <vt:lpstr>rok2008</vt:lpstr>
      <vt:lpstr>rok2007</vt:lpstr>
      <vt:lpstr>rok2006</vt:lpstr>
      <vt:lpstr>rok2005</vt:lpstr>
      <vt:lpstr>rok2004</vt:lpstr>
      <vt:lpstr>rok2003</vt:lpstr>
      <vt:lpstr>rok2002</vt:lpstr>
      <vt:lpstr>rok2001</vt:lpstr>
      <vt:lpstr>rok2000</vt:lpstr>
      <vt:lpstr>rok1999</vt:lpstr>
      <vt:lpstr>Arkusz1</vt:lpstr>
      <vt:lpstr>'rok1999'!Obszar_wydruku</vt:lpstr>
      <vt:lpstr>'rok2000'!Obszar_wydruku</vt:lpstr>
      <vt:lpstr>'rok2001'!Obszar_wydruku</vt:lpstr>
      <vt:lpstr>'rok2002'!Obszar_wydruku</vt:lpstr>
      <vt:lpstr>'rok2004'!Obszar_wydruku</vt:lpstr>
      <vt:lpstr>'rok2010'!Obszar_wydruku</vt:lpstr>
      <vt:lpstr>'rok2013'!Obszar_wydruku</vt:lpstr>
      <vt:lpstr>'rok2014'!Obszar_wydruku</vt:lpstr>
      <vt:lpstr>'rok2016'!Obszar_wydruku</vt:lpstr>
      <vt:lpstr>'rok2017'!Obszar_wydruku</vt:lpstr>
      <vt:lpstr>'rok2018'!Obszar_wydruku</vt:lpstr>
      <vt:lpstr>'rok2019'!Obszar_wydruku</vt:lpstr>
      <vt:lpstr>'rok2021'!Obszar_wydruku</vt:lpstr>
      <vt:lpstr>'rok2022'!Obszar_wydruku</vt:lpstr>
      <vt:lpstr>'rok2023'!Obszar_wydruku</vt:lpstr>
    </vt:vector>
  </TitlesOfParts>
  <Company>Narodowy Bank Polski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sp11AP</dc:creator>
  <cp:lastModifiedBy>Pęksa-Wicińska, Alicja Beata</cp:lastModifiedBy>
  <cp:lastPrinted>2021-11-17T11:58:38Z</cp:lastPrinted>
  <dcterms:created xsi:type="dcterms:W3CDTF">1999-03-22T09:36:03Z</dcterms:created>
  <dcterms:modified xsi:type="dcterms:W3CDTF">2024-01-10T14:24:07Z</dcterms:modified>
</cp:coreProperties>
</file>